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765" windowWidth="15120" windowHeight="7350"/>
  </bookViews>
  <sheets>
    <sheet name="ОЭфР ГП" sheetId="8" r:id="rId1"/>
  </sheets>
  <definedNames>
    <definedName name="_xlnm.Print_Titles" localSheetId="0">'ОЭфР ГП'!$2:$3</definedName>
    <definedName name="_xlnm.Print_Area" localSheetId="0">'ОЭфР ГП'!$A$1:$O$29</definedName>
  </definedNames>
  <calcPr calcId="125725"/>
</workbook>
</file>

<file path=xl/calcChain.xml><?xml version="1.0" encoding="utf-8"?>
<calcChain xmlns="http://schemas.openxmlformats.org/spreadsheetml/2006/main">
  <c r="J23" i="8"/>
  <c r="J25" l="1"/>
  <c r="J14" l="1"/>
  <c r="J11"/>
  <c r="J10"/>
  <c r="J5"/>
  <c r="J21"/>
  <c r="K23" l="1"/>
  <c r="L23"/>
  <c r="M23" l="1"/>
  <c r="N23" s="1"/>
  <c r="J17" l="1"/>
  <c r="L20" l="1"/>
  <c r="J20" l="1"/>
  <c r="J4" l="1"/>
  <c r="J18" l="1"/>
  <c r="J24"/>
  <c r="J6" l="1"/>
  <c r="J22" l="1"/>
  <c r="J28" l="1"/>
  <c r="J13" l="1"/>
  <c r="J19"/>
  <c r="J15" l="1"/>
  <c r="J7"/>
  <c r="J8" l="1"/>
  <c r="K26"/>
  <c r="L26"/>
  <c r="J9"/>
  <c r="J29"/>
  <c r="J16"/>
  <c r="M26" l="1"/>
  <c r="N26" s="1"/>
  <c r="L9"/>
  <c r="K9"/>
  <c r="M9" l="1"/>
  <c r="N9" s="1"/>
  <c r="L28" l="1"/>
  <c r="K28"/>
  <c r="L29"/>
  <c r="K29"/>
  <c r="L21"/>
  <c r="K21"/>
  <c r="K20"/>
  <c r="M20" s="1"/>
  <c r="N20" s="1"/>
  <c r="M29" l="1"/>
  <c r="N29" s="1"/>
  <c r="M21"/>
  <c r="N21" s="1"/>
  <c r="M28"/>
  <c r="N28" s="1"/>
  <c r="L19" l="1"/>
  <c r="K19"/>
  <c r="L18"/>
  <c r="K18"/>
  <c r="L17"/>
  <c r="K17"/>
  <c r="M17" l="1"/>
  <c r="N17" s="1"/>
  <c r="M18"/>
  <c r="N18" s="1"/>
  <c r="M19"/>
  <c r="N19" s="1"/>
  <c r="L8"/>
  <c r="K8"/>
  <c r="M8" l="1"/>
  <c r="N8" s="1"/>
  <c r="L5" l="1"/>
  <c r="K5"/>
  <c r="M5" l="1"/>
  <c r="N5" s="1"/>
  <c r="K25" l="1"/>
  <c r="K4" l="1"/>
  <c r="L6" l="1"/>
  <c r="L7"/>
  <c r="L10"/>
  <c r="L11"/>
  <c r="L12"/>
  <c r="L13"/>
  <c r="L14"/>
  <c r="L15"/>
  <c r="L16"/>
  <c r="L22"/>
  <c r="L24"/>
  <c r="L25"/>
  <c r="L27"/>
  <c r="L4"/>
  <c r="M4" s="1"/>
  <c r="N4" s="1"/>
  <c r="K7"/>
  <c r="K6"/>
  <c r="K10"/>
  <c r="K12"/>
  <c r="K13"/>
  <c r="K14"/>
  <c r="K15"/>
  <c r="K16"/>
  <c r="K22"/>
  <c r="K24"/>
  <c r="K27"/>
  <c r="K11"/>
  <c r="M15" l="1"/>
  <c r="M16" l="1"/>
  <c r="N16" s="1"/>
  <c r="M13"/>
  <c r="N13" s="1"/>
  <c r="M14"/>
  <c r="M6"/>
  <c r="N6" s="1"/>
  <c r="M27"/>
  <c r="N27" s="1"/>
  <c r="M25"/>
  <c r="N25" s="1"/>
  <c r="M7"/>
  <c r="N7" s="1"/>
  <c r="M11"/>
  <c r="N11" s="1"/>
  <c r="M12"/>
  <c r="N12" s="1"/>
  <c r="M10"/>
  <c r="N10" s="1"/>
  <c r="M24"/>
  <c r="N24" s="1"/>
  <c r="N15"/>
  <c r="M22"/>
  <c r="N22" s="1"/>
  <c r="N14" l="1"/>
</calcChain>
</file>

<file path=xl/sharedStrings.xml><?xml version="1.0" encoding="utf-8"?>
<sst xmlns="http://schemas.openxmlformats.org/spreadsheetml/2006/main" count="94" uniqueCount="72">
  <si>
    <t>№ п/п</t>
  </si>
  <si>
    <t>Наименование госпрограммы (подпрограммы)</t>
  </si>
  <si>
    <t>количество целевых показателей</t>
  </si>
  <si>
    <t>количество выполненных мероприятий</t>
  </si>
  <si>
    <t>общее количество мероприятий, запланированных к реализации</t>
  </si>
  <si>
    <t>фактические расходы на реализацию государственной программы в отчетном году</t>
  </si>
  <si>
    <t>плановые расходы на реализацию государственной программы в отчетном году</t>
  </si>
  <si>
    <t xml:space="preserve">степень достижения планового значения каждого целевого показателя (индикатора) </t>
  </si>
  <si>
    <t xml:space="preserve">  степень достижения плановых значений целевых показателей (индикаторов) в целом </t>
  </si>
  <si>
    <t xml:space="preserve"> степень реализации мероприятий</t>
  </si>
  <si>
    <t xml:space="preserve"> степень соответствия запланированному уровню за счет средств бюджета УР</t>
  </si>
  <si>
    <t>  эффективность использования средств бюджета УР</t>
  </si>
  <si>
    <t xml:space="preserve"> эффективность реализации государственной программы</t>
  </si>
  <si>
    <t>N</t>
  </si>
  <si>
    <t xml:space="preserve"> Мв</t>
  </si>
  <si>
    <t xml:space="preserve"> М</t>
  </si>
  <si>
    <t xml:space="preserve">Рф </t>
  </si>
  <si>
    <t>Рп</t>
  </si>
  <si>
    <t>СДг/п = ∑ СДцп / N</t>
  </si>
  <si>
    <t>СРм = Мв / М</t>
  </si>
  <si>
    <t>ССур = Рф / Рп</t>
  </si>
  <si>
    <t>Формирование и реализация демографической и семейной политики</t>
  </si>
  <si>
    <t>Развитие здравоохранения</t>
  </si>
  <si>
    <t>Развитие физической культуры, спорта и туризма</t>
  </si>
  <si>
    <t>Развитие образования</t>
  </si>
  <si>
    <t>Развитие социально-трудовой сферы</t>
  </si>
  <si>
    <t>Содействие занятости</t>
  </si>
  <si>
    <t>Социальная защита населения</t>
  </si>
  <si>
    <t>Культура Удмуртии</t>
  </si>
  <si>
    <t>Реализация молодежной политики</t>
  </si>
  <si>
    <t>Этносоциальное развитие и гармонизация межэтнических отношений</t>
  </si>
  <si>
    <t>Окружающая среда и природные ресурсы</t>
  </si>
  <si>
    <t>Развитие архивного дела</t>
  </si>
  <si>
    <t>Развитие системы государственной регистрации актов гражданского состояния</t>
  </si>
  <si>
    <t>Создание условий для устойчивого экономического развития</t>
  </si>
  <si>
    <t>Развитие промышленности и повышение её конкурентоспособности</t>
  </si>
  <si>
    <t>Развитие лесного хозяйства</t>
  </si>
  <si>
    <t>Развитие сельского хозяйства и регулирования рынков сельскохозяйственной продукции, сырья и продовольствия</t>
  </si>
  <si>
    <t>Охрана животного мира, водных биологических ресурсов и развитие охотничьего хозяйства УР</t>
  </si>
  <si>
    <t>Развитие потребительского рынка</t>
  </si>
  <si>
    <t>Энергоэффективность и развитие энергетики</t>
  </si>
  <si>
    <t>Развитие транспортной системы</t>
  </si>
  <si>
    <t xml:space="preserve">Обеспечение качественным жильем и услугами ЖКХ населения </t>
  </si>
  <si>
    <t xml:space="preserve">Информационное общество </t>
  </si>
  <si>
    <t>Государственное регулирование тарифов (цен) на продукцию и услуги субъектов естественных монополий, организаций коммунального комплекса и других регулируемых организаций</t>
  </si>
  <si>
    <t>Управление государственными финансами</t>
  </si>
  <si>
    <t>1 по всем показателям, за исключение 11 и14.</t>
  </si>
  <si>
    <t>1 по всем показателеям за исключением 5</t>
  </si>
  <si>
    <t>1 по всем 8 показателям</t>
  </si>
  <si>
    <t>из 4 показателей только по  1 -100%</t>
  </si>
  <si>
    <t>1 по всем, кроме 6 (0,8)</t>
  </si>
  <si>
    <t>1 по 92 показателю, 15 показателей выполнено частично</t>
  </si>
  <si>
    <t>1 по 33 показателям</t>
  </si>
  <si>
    <t xml:space="preserve">1 - у 14 показателей, </t>
  </si>
  <si>
    <t>1 по 5 показателям, из 14 показателей</t>
  </si>
  <si>
    <t>1 по всем показателеям за исключением 3</t>
  </si>
  <si>
    <t>1 - по 24 показателям, более 0,95 - по 6 показателям, от 0,81 до 0,95 - по 6 показателям</t>
  </si>
  <si>
    <t>1 по 11 показателям, более 0,95 - по 1 показателю, нет данных статистики  - по 1 показателю</t>
  </si>
  <si>
    <t>1 - по 14 показателям, более 0,95 - по 3 показателям, 2 - не выполнены, остальные 8 - выполнены частично</t>
  </si>
  <si>
    <t>1 - по 30 показателям, частично- 17 показателей (не выполнены)</t>
  </si>
  <si>
    <t>Nв</t>
  </si>
  <si>
    <t>количество выполненных целевых показателей</t>
  </si>
  <si>
    <t>Средняя</t>
  </si>
  <si>
    <t>Высокая</t>
  </si>
  <si>
    <r>
      <t>СД</t>
    </r>
    <r>
      <rPr>
        <vertAlign val="subscript"/>
        <sz val="10"/>
        <rFont val="Times New Roman"/>
        <family val="1"/>
        <charset val="204"/>
      </rPr>
      <t>цп</t>
    </r>
    <r>
      <rPr>
        <sz val="10"/>
        <rFont val="Times New Roman"/>
        <family val="1"/>
        <charset val="204"/>
      </rPr>
      <t xml:space="preserve"> = ЗП</t>
    </r>
    <r>
      <rPr>
        <vertAlign val="subscript"/>
        <sz val="10"/>
        <rFont val="Times New Roman"/>
        <family val="1"/>
        <charset val="204"/>
      </rPr>
      <t xml:space="preserve">ф </t>
    </r>
    <r>
      <rPr>
        <sz val="10"/>
        <rFont val="Times New Roman"/>
        <family val="1"/>
        <charset val="204"/>
      </rPr>
      <t>/ ЗП</t>
    </r>
    <r>
      <rPr>
        <vertAlign val="subscript"/>
        <sz val="10"/>
        <rFont val="Times New Roman"/>
        <family val="1"/>
        <charset val="204"/>
      </rPr>
      <t>п</t>
    </r>
  </si>
  <si>
    <r>
      <t>Э</t>
    </r>
    <r>
      <rPr>
        <vertAlign val="subscript"/>
        <sz val="10"/>
        <rFont val="Times New Roman"/>
        <family val="1"/>
        <charset val="204"/>
      </rPr>
      <t>ис</t>
    </r>
    <r>
      <rPr>
        <sz val="10"/>
        <rFont val="Times New Roman"/>
        <family val="1"/>
        <charset val="204"/>
      </rPr>
      <t xml:space="preserve"> = СР</t>
    </r>
    <r>
      <rPr>
        <vertAlign val="subscript"/>
        <sz val="10"/>
        <rFont val="Times New Roman"/>
        <family val="1"/>
        <charset val="204"/>
      </rPr>
      <t>м</t>
    </r>
    <r>
      <rPr>
        <sz val="10"/>
        <rFont val="Times New Roman"/>
        <family val="1"/>
        <charset val="204"/>
      </rPr>
      <t xml:space="preserve"> / Ссур</t>
    </r>
  </si>
  <si>
    <r>
      <t>ЭР</t>
    </r>
    <r>
      <rPr>
        <vertAlign val="subscript"/>
        <sz val="10"/>
        <rFont val="Times New Roman"/>
        <family val="1"/>
        <charset val="204"/>
      </rPr>
      <t xml:space="preserve">г/п </t>
    </r>
    <r>
      <rPr>
        <sz val="10"/>
        <rFont val="Times New Roman"/>
        <family val="1"/>
        <charset val="204"/>
      </rPr>
      <t>=</t>
    </r>
    <r>
      <rPr>
        <vertAlign val="subscript"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СД</t>
    </r>
    <r>
      <rPr>
        <vertAlign val="subscript"/>
        <sz val="10"/>
        <rFont val="Times New Roman"/>
        <family val="1"/>
        <charset val="204"/>
      </rPr>
      <t>г/п</t>
    </r>
    <r>
      <rPr>
        <sz val="10"/>
        <rFont val="Times New Roman"/>
        <family val="1"/>
        <charset val="204"/>
      </rPr>
      <t>*Э</t>
    </r>
    <r>
      <rPr>
        <vertAlign val="subscript"/>
        <sz val="10"/>
        <rFont val="Times New Roman"/>
        <family val="1"/>
        <charset val="204"/>
      </rPr>
      <t>ис</t>
    </r>
  </si>
  <si>
    <t>Удовл</t>
  </si>
  <si>
    <t xml:space="preserve">Удовл </t>
  </si>
  <si>
    <t>эффективность</t>
  </si>
  <si>
    <t>Управление государственным имуществом</t>
  </si>
  <si>
    <t>РАСЧЕТ ЭФФЕКТИВНОСТИ ГОСУДАРСТВЕННЫХ ПРОГРАММ УДМУРТСКОЙ  РЕСПУБЛИКИ ЗА 2014 ГОД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</si>
</sst>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#,##0.0"/>
    <numFmt numFmtId="166" formatCode="0.0"/>
  </numFmts>
  <fonts count="6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0" xfId="0" applyFont="1" applyFill="1"/>
    <xf numFmtId="1" fontId="1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66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65" fontId="1" fillId="2" borderId="1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O29"/>
  <sheetViews>
    <sheetView tabSelected="1" view="pageBreakPreview" zoomScale="60" zoomScaleNormal="100" workbookViewId="0">
      <selection activeCell="U6" sqref="U6"/>
    </sheetView>
  </sheetViews>
  <sheetFormatPr defaultColWidth="9.140625" defaultRowHeight="15"/>
  <cols>
    <col min="1" max="1" width="5.7109375" style="18" customWidth="1"/>
    <col min="2" max="2" width="21.7109375" style="5" customWidth="1"/>
    <col min="3" max="3" width="11.140625" style="1" customWidth="1"/>
    <col min="4" max="4" width="11.85546875" style="1" customWidth="1"/>
    <col min="5" max="5" width="12.85546875" style="1" customWidth="1"/>
    <col min="6" max="6" width="12" style="1" customWidth="1"/>
    <col min="7" max="7" width="14.28515625" style="1" customWidth="1"/>
    <col min="8" max="8" width="15.140625" style="1" customWidth="1"/>
    <col min="9" max="9" width="4.7109375" style="1" hidden="1" customWidth="1"/>
    <col min="10" max="10" width="17.85546875" style="4" customWidth="1"/>
    <col min="11" max="12" width="12.85546875" style="1" customWidth="1"/>
    <col min="13" max="13" width="13.42578125" style="1" customWidth="1"/>
    <col min="14" max="14" width="14.42578125" style="1" customWidth="1"/>
    <col min="15" max="15" width="10.7109375" style="18" customWidth="1"/>
    <col min="16" max="16384" width="9.140625" style="1"/>
  </cols>
  <sheetData>
    <row r="1" spans="1:15" ht="25.5" customHeight="1">
      <c r="A1" s="25" t="s">
        <v>71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3"/>
    </row>
    <row r="2" spans="1:15" ht="105" customHeight="1">
      <c r="A2" s="26" t="s">
        <v>0</v>
      </c>
      <c r="B2" s="27" t="s">
        <v>1</v>
      </c>
      <c r="C2" s="6" t="s">
        <v>2</v>
      </c>
      <c r="D2" s="6" t="s">
        <v>61</v>
      </c>
      <c r="E2" s="6" t="s">
        <v>4</v>
      </c>
      <c r="F2" s="6" t="s">
        <v>3</v>
      </c>
      <c r="G2" s="6" t="s">
        <v>6</v>
      </c>
      <c r="H2" s="6" t="s">
        <v>5</v>
      </c>
      <c r="I2" s="6" t="s">
        <v>7</v>
      </c>
      <c r="J2" s="6" t="s">
        <v>8</v>
      </c>
      <c r="K2" s="6" t="s">
        <v>9</v>
      </c>
      <c r="L2" s="6" t="s">
        <v>10</v>
      </c>
      <c r="M2" s="6" t="s">
        <v>11</v>
      </c>
      <c r="N2" s="6" t="s">
        <v>12</v>
      </c>
      <c r="O2" s="6" t="s">
        <v>69</v>
      </c>
    </row>
    <row r="3" spans="1:15" ht="18.75" customHeight="1">
      <c r="A3" s="26"/>
      <c r="B3" s="27"/>
      <c r="C3" s="7" t="s">
        <v>13</v>
      </c>
      <c r="D3" s="7" t="s">
        <v>60</v>
      </c>
      <c r="E3" s="7" t="s">
        <v>15</v>
      </c>
      <c r="F3" s="7" t="s">
        <v>14</v>
      </c>
      <c r="G3" s="7" t="s">
        <v>17</v>
      </c>
      <c r="H3" s="7" t="s">
        <v>16</v>
      </c>
      <c r="I3" s="7" t="s">
        <v>64</v>
      </c>
      <c r="J3" s="7" t="s">
        <v>18</v>
      </c>
      <c r="K3" s="7" t="s">
        <v>19</v>
      </c>
      <c r="L3" s="7" t="s">
        <v>20</v>
      </c>
      <c r="M3" s="7" t="s">
        <v>65</v>
      </c>
      <c r="N3" s="7" t="s">
        <v>66</v>
      </c>
      <c r="O3" s="7"/>
    </row>
    <row r="4" spans="1:15" ht="63" customHeight="1">
      <c r="A4" s="17">
        <v>1</v>
      </c>
      <c r="B4" s="24" t="s">
        <v>21</v>
      </c>
      <c r="C4" s="12">
        <v>13</v>
      </c>
      <c r="D4" s="12">
        <v>8</v>
      </c>
      <c r="E4" s="12">
        <v>9</v>
      </c>
      <c r="F4" s="12">
        <v>8</v>
      </c>
      <c r="G4" s="19">
        <v>860384.9</v>
      </c>
      <c r="H4" s="19">
        <v>807259.4</v>
      </c>
      <c r="I4" s="9"/>
      <c r="J4" s="9">
        <f>(8 +0.9+0.81+0.993+0.984+0.547)/13</f>
        <v>0.94107692307692326</v>
      </c>
      <c r="K4" s="9">
        <f>F4/E4</f>
        <v>0.88888888888888884</v>
      </c>
      <c r="L4" s="9">
        <f>H4/G4</f>
        <v>0.93825379780607499</v>
      </c>
      <c r="M4" s="9">
        <f>K4/L4</f>
        <v>0.94738640117139261</v>
      </c>
      <c r="N4" s="9">
        <f>J4*M4</f>
        <v>0.89156347937929381</v>
      </c>
      <c r="O4" s="20" t="s">
        <v>62</v>
      </c>
    </row>
    <row r="5" spans="1:15" ht="33.75" customHeight="1">
      <c r="A5" s="17">
        <v>2</v>
      </c>
      <c r="B5" s="24" t="s">
        <v>22</v>
      </c>
      <c r="C5" s="2">
        <v>90</v>
      </c>
      <c r="D5" s="2">
        <v>79</v>
      </c>
      <c r="E5" s="2">
        <v>39</v>
      </c>
      <c r="F5" s="2">
        <v>36</v>
      </c>
      <c r="G5" s="19">
        <v>11323942.800000001</v>
      </c>
      <c r="H5" s="19">
        <v>10991009.6</v>
      </c>
      <c r="I5" s="8" t="s">
        <v>51</v>
      </c>
      <c r="J5" s="9">
        <f>(79+0.984+0.993+0.944+0.988+0.963+0.87+0.907+0.867+0.754+0.969+0.952)/90</f>
        <v>0.99101111111111095</v>
      </c>
      <c r="K5" s="9">
        <f t="shared" ref="K5" si="0">F5/E5</f>
        <v>0.92307692307692313</v>
      </c>
      <c r="L5" s="9">
        <f>H5/G5</f>
        <v>0.97059918034909176</v>
      </c>
      <c r="M5" s="9">
        <f t="shared" ref="M5" si="1">K5/L5</f>
        <v>0.95103822645401737</v>
      </c>
      <c r="N5" s="9">
        <f t="shared" ref="N5" si="2">J5*M5</f>
        <v>0.94248944950733615</v>
      </c>
      <c r="O5" s="21" t="s">
        <v>63</v>
      </c>
    </row>
    <row r="6" spans="1:15" ht="67.5" customHeight="1">
      <c r="A6" s="17">
        <v>3</v>
      </c>
      <c r="B6" s="24" t="s">
        <v>23</v>
      </c>
      <c r="C6" s="2">
        <v>17</v>
      </c>
      <c r="D6" s="2">
        <v>14</v>
      </c>
      <c r="E6" s="2">
        <v>21</v>
      </c>
      <c r="F6" s="2">
        <v>18</v>
      </c>
      <c r="G6" s="14">
        <v>637211.9</v>
      </c>
      <c r="H6" s="14">
        <v>629322.4</v>
      </c>
      <c r="I6" s="9"/>
      <c r="J6" s="9">
        <f>(14+0.8229+0.709+0.903)/17</f>
        <v>0.96675882352941167</v>
      </c>
      <c r="K6" s="9">
        <f t="shared" ref="K6:K29" si="3">F6/E6</f>
        <v>0.8571428571428571</v>
      </c>
      <c r="L6" s="9">
        <f t="shared" ref="L6:L29" si="4">H6/G6</f>
        <v>0.98761871835726855</v>
      </c>
      <c r="M6" s="9">
        <f t="shared" ref="M6:M29" si="5">K6/L6</f>
        <v>0.86788842820695489</v>
      </c>
      <c r="N6" s="9">
        <f t="shared" ref="N6:N27" si="6">J6*M6</f>
        <v>0.839038795808146</v>
      </c>
      <c r="O6" s="20" t="s">
        <v>62</v>
      </c>
    </row>
    <row r="7" spans="1:15" ht="33.75" customHeight="1">
      <c r="A7" s="17">
        <v>4</v>
      </c>
      <c r="B7" s="24" t="s">
        <v>24</v>
      </c>
      <c r="C7" s="2">
        <v>43</v>
      </c>
      <c r="D7" s="2">
        <v>34</v>
      </c>
      <c r="E7" s="2">
        <v>73</v>
      </c>
      <c r="F7" s="2">
        <v>70</v>
      </c>
      <c r="G7" s="14">
        <v>17260352.489999998</v>
      </c>
      <c r="H7" s="14">
        <v>17160134.359999999</v>
      </c>
      <c r="I7" s="13"/>
      <c r="J7" s="9">
        <f>(78/84.8+0/5+0.05/0.06+94.7/100+129/150+24197/27762+20/100+95.2/96.6+91.4/97+34)/43</f>
        <v>0.9432443489105321</v>
      </c>
      <c r="K7" s="9">
        <f>F7/E7</f>
        <v>0.95890410958904104</v>
      </c>
      <c r="L7" s="9">
        <f t="shared" si="4"/>
        <v>0.99419373792869747</v>
      </c>
      <c r="M7" s="9">
        <f>K7/L7</f>
        <v>0.96450427417378548</v>
      </c>
      <c r="N7" s="9">
        <f t="shared" si="6"/>
        <v>0.90976320611447759</v>
      </c>
      <c r="O7" s="20" t="s">
        <v>63</v>
      </c>
    </row>
    <row r="8" spans="1:15" ht="32.25" customHeight="1">
      <c r="A8" s="17">
        <v>5</v>
      </c>
      <c r="B8" s="24" t="s">
        <v>25</v>
      </c>
      <c r="C8" s="2">
        <v>18</v>
      </c>
      <c r="D8" s="2">
        <v>15</v>
      </c>
      <c r="E8" s="2">
        <v>41</v>
      </c>
      <c r="F8" s="2">
        <v>40</v>
      </c>
      <c r="G8" s="14">
        <v>30361.1</v>
      </c>
      <c r="H8" s="14">
        <v>29788.799999999999</v>
      </c>
      <c r="I8" s="8" t="s">
        <v>52</v>
      </c>
      <c r="J8" s="9">
        <f>(23681/23790+3.8/6.2+24.1/26.5+15)/18</f>
        <v>0.97320863505721278</v>
      </c>
      <c r="K8" s="9">
        <f t="shared" ref="K8:K9" si="7">F8/E8</f>
        <v>0.97560975609756095</v>
      </c>
      <c r="L8" s="9">
        <f t="shared" si="4"/>
        <v>0.98115022182990741</v>
      </c>
      <c r="M8" s="9">
        <f t="shared" ref="M8:M9" si="8">K8/L8</f>
        <v>0.99435309129114491</v>
      </c>
      <c r="N8" s="9">
        <f t="shared" si="6"/>
        <v>0.96771301474037519</v>
      </c>
      <c r="O8" s="20" t="s">
        <v>63</v>
      </c>
    </row>
    <row r="9" spans="1:15" ht="33.75" customHeight="1">
      <c r="A9" s="17">
        <v>6</v>
      </c>
      <c r="B9" s="24" t="s">
        <v>26</v>
      </c>
      <c r="C9" s="2">
        <v>9</v>
      </c>
      <c r="D9" s="2">
        <v>8</v>
      </c>
      <c r="E9" s="2">
        <v>12</v>
      </c>
      <c r="F9" s="2">
        <v>12</v>
      </c>
      <c r="G9" s="14">
        <v>816702.1</v>
      </c>
      <c r="H9" s="14">
        <v>753143.4</v>
      </c>
      <c r="I9" s="9" t="s">
        <v>46</v>
      </c>
      <c r="J9" s="9">
        <f>(8+65.2/73.5)/9</f>
        <v>0.98745275888133022</v>
      </c>
      <c r="K9" s="9">
        <f t="shared" si="7"/>
        <v>1</v>
      </c>
      <c r="L9" s="9">
        <f t="shared" si="4"/>
        <v>0.92217639699959142</v>
      </c>
      <c r="M9" s="9">
        <f t="shared" si="8"/>
        <v>1.0843912327984286</v>
      </c>
      <c r="N9" s="9">
        <f t="shared" si="6"/>
        <v>1.0707851145335352</v>
      </c>
      <c r="O9" s="20" t="s">
        <v>63</v>
      </c>
    </row>
    <row r="10" spans="1:15" ht="33.75" customHeight="1">
      <c r="A10" s="17">
        <v>7</v>
      </c>
      <c r="B10" s="24" t="s">
        <v>27</v>
      </c>
      <c r="C10" s="2">
        <v>14</v>
      </c>
      <c r="D10" s="2">
        <v>11</v>
      </c>
      <c r="E10" s="2">
        <v>34</v>
      </c>
      <c r="F10" s="2">
        <v>31</v>
      </c>
      <c r="G10" s="11">
        <v>7020739.5</v>
      </c>
      <c r="H10" s="11">
        <v>6659615.2999999998</v>
      </c>
      <c r="I10" s="9"/>
      <c r="J10" s="9">
        <f>(11+0.994+0.994+0.963)/14</f>
        <v>0.99649999999999994</v>
      </c>
      <c r="K10" s="9">
        <f t="shared" si="3"/>
        <v>0.91176470588235292</v>
      </c>
      <c r="L10" s="9">
        <f t="shared" si="4"/>
        <v>0.94856322471443355</v>
      </c>
      <c r="M10" s="9">
        <f t="shared" si="5"/>
        <v>0.96120604523419206</v>
      </c>
      <c r="N10" s="9">
        <f t="shared" si="6"/>
        <v>0.95784182407587237</v>
      </c>
      <c r="O10" s="20" t="s">
        <v>63</v>
      </c>
    </row>
    <row r="11" spans="1:15" ht="24" customHeight="1">
      <c r="A11" s="17">
        <v>8</v>
      </c>
      <c r="B11" s="24" t="s">
        <v>28</v>
      </c>
      <c r="C11" s="2">
        <v>63</v>
      </c>
      <c r="D11" s="2">
        <v>44</v>
      </c>
      <c r="E11" s="2">
        <v>73</v>
      </c>
      <c r="F11" s="2">
        <v>56</v>
      </c>
      <c r="G11" s="11">
        <v>1031512</v>
      </c>
      <c r="H11" s="11">
        <v>1016639.6</v>
      </c>
      <c r="I11" s="9"/>
      <c r="J11" s="9">
        <f>(44+0.5+0.972+0.75+0.893+0.938+0.65+0.846+0.533+0.071+0.551+0.525+0.968+0.996+0.986+0.96+0.96+0.996+0.958+0.952)/63</f>
        <v>0.93658730158730163</v>
      </c>
      <c r="K11" s="9">
        <f t="shared" si="3"/>
        <v>0.76712328767123283</v>
      </c>
      <c r="L11" s="9">
        <f t="shared" si="4"/>
        <v>0.98558194184847092</v>
      </c>
      <c r="M11" s="9">
        <f t="shared" si="5"/>
        <v>0.77834551862068801</v>
      </c>
      <c r="N11" s="9">
        <f t="shared" si="6"/>
        <v>0.72898852898751898</v>
      </c>
      <c r="O11" s="22" t="s">
        <v>68</v>
      </c>
    </row>
    <row r="12" spans="1:15" ht="48.75" customHeight="1">
      <c r="A12" s="17">
        <v>9</v>
      </c>
      <c r="B12" s="24" t="s">
        <v>29</v>
      </c>
      <c r="C12" s="2">
        <v>13</v>
      </c>
      <c r="D12" s="2">
        <v>13</v>
      </c>
      <c r="E12" s="2">
        <v>12</v>
      </c>
      <c r="F12" s="2">
        <v>11</v>
      </c>
      <c r="G12" s="11">
        <v>53731.1</v>
      </c>
      <c r="H12" s="11">
        <v>49503.199999999997</v>
      </c>
      <c r="I12" s="10" t="s">
        <v>53</v>
      </c>
      <c r="J12" s="9">
        <v>1</v>
      </c>
      <c r="K12" s="9">
        <f t="shared" si="3"/>
        <v>0.91666666666666663</v>
      </c>
      <c r="L12" s="9">
        <f t="shared" si="4"/>
        <v>0.92131372705937531</v>
      </c>
      <c r="M12" s="9">
        <f t="shared" si="5"/>
        <v>0.99495604997926057</v>
      </c>
      <c r="N12" s="9">
        <f t="shared" si="6"/>
        <v>0.99495604997926057</v>
      </c>
      <c r="O12" s="20" t="s">
        <v>63</v>
      </c>
    </row>
    <row r="13" spans="1:15" ht="78" customHeight="1">
      <c r="A13" s="17">
        <v>10</v>
      </c>
      <c r="B13" s="24" t="s">
        <v>30</v>
      </c>
      <c r="C13" s="2">
        <v>14</v>
      </c>
      <c r="D13" s="2">
        <v>6</v>
      </c>
      <c r="E13" s="2">
        <v>10</v>
      </c>
      <c r="F13" s="2">
        <v>8</v>
      </c>
      <c r="G13" s="14">
        <v>65700.399999999994</v>
      </c>
      <c r="H13" s="14">
        <v>61538.6</v>
      </c>
      <c r="I13" s="10" t="s">
        <v>54</v>
      </c>
      <c r="J13" s="9">
        <f>(6+0.985+0.962+0.981+0.912+0+0+0.992+0.98)/14</f>
        <v>0.84371428571428575</v>
      </c>
      <c r="K13" s="9">
        <f t="shared" si="3"/>
        <v>0.8</v>
      </c>
      <c r="L13" s="9">
        <f t="shared" si="4"/>
        <v>0.93665487576940176</v>
      </c>
      <c r="M13" s="9">
        <f t="shared" si="5"/>
        <v>0.85410327826762389</v>
      </c>
      <c r="N13" s="9">
        <f t="shared" si="6"/>
        <v>0.7206191373497981</v>
      </c>
      <c r="O13" s="20" t="s">
        <v>67</v>
      </c>
    </row>
    <row r="14" spans="1:15" ht="49.5" customHeight="1">
      <c r="A14" s="17">
        <v>11</v>
      </c>
      <c r="B14" s="24" t="s">
        <v>31</v>
      </c>
      <c r="C14" s="2">
        <v>26</v>
      </c>
      <c r="D14" s="2">
        <v>23</v>
      </c>
      <c r="E14" s="2">
        <v>27</v>
      </c>
      <c r="F14" s="2">
        <v>24</v>
      </c>
      <c r="G14" s="15">
        <v>349582.3</v>
      </c>
      <c r="H14" s="15">
        <v>284924.2</v>
      </c>
      <c r="I14" s="10" t="s">
        <v>55</v>
      </c>
      <c r="J14" s="9">
        <f>ROUND((23+0+0.667+0.684)/26,3)</f>
        <v>0.93700000000000006</v>
      </c>
      <c r="K14" s="9">
        <f t="shared" si="3"/>
        <v>0.88888888888888884</v>
      </c>
      <c r="L14" s="9">
        <f t="shared" si="4"/>
        <v>0.81504183707241473</v>
      </c>
      <c r="M14" s="9">
        <f t="shared" si="5"/>
        <v>1.0906052284159162</v>
      </c>
      <c r="N14" s="9">
        <f>J14*M14</f>
        <v>1.0218970990257135</v>
      </c>
      <c r="O14" s="21" t="s">
        <v>63</v>
      </c>
    </row>
    <row r="15" spans="1:15" ht="33.75" customHeight="1">
      <c r="A15" s="17">
        <v>12</v>
      </c>
      <c r="B15" s="24" t="s">
        <v>32</v>
      </c>
      <c r="C15" s="2">
        <v>9</v>
      </c>
      <c r="D15" s="2">
        <v>7</v>
      </c>
      <c r="E15" s="2">
        <v>10</v>
      </c>
      <c r="F15" s="2">
        <v>9</v>
      </c>
      <c r="G15" s="11">
        <v>118580.6</v>
      </c>
      <c r="H15" s="11">
        <v>114908</v>
      </c>
      <c r="I15" s="11" t="s">
        <v>47</v>
      </c>
      <c r="J15" s="9">
        <f>(1*7+(0.99*2))/9</f>
        <v>0.99777777777777787</v>
      </c>
      <c r="K15" s="9">
        <f t="shared" si="3"/>
        <v>0.9</v>
      </c>
      <c r="L15" s="9">
        <f t="shared" si="4"/>
        <v>0.9690286606746803</v>
      </c>
      <c r="M15" s="9">
        <f>K15/L15</f>
        <v>0.92876509903575044</v>
      </c>
      <c r="N15" s="9">
        <f>J15*M15</f>
        <v>0.92670117659344886</v>
      </c>
      <c r="O15" s="23" t="s">
        <v>63</v>
      </c>
    </row>
    <row r="16" spans="1:15" ht="84.75" customHeight="1">
      <c r="A16" s="17">
        <v>13</v>
      </c>
      <c r="B16" s="24" t="s">
        <v>33</v>
      </c>
      <c r="C16" s="2">
        <v>8</v>
      </c>
      <c r="D16" s="2">
        <v>7</v>
      </c>
      <c r="E16" s="2">
        <v>9</v>
      </c>
      <c r="F16" s="2">
        <v>9</v>
      </c>
      <c r="G16" s="11">
        <v>91054.2</v>
      </c>
      <c r="H16" s="11">
        <v>90795.1</v>
      </c>
      <c r="I16" s="10" t="s">
        <v>48</v>
      </c>
      <c r="J16" s="9">
        <f>(1+1+1+1+1+1+1.9/2+1)/8</f>
        <v>0.99375000000000002</v>
      </c>
      <c r="K16" s="9">
        <f t="shared" si="3"/>
        <v>1</v>
      </c>
      <c r="L16" s="9">
        <f t="shared" si="4"/>
        <v>0.99715444207955273</v>
      </c>
      <c r="M16" s="9">
        <f t="shared" si="5"/>
        <v>1.0028536782271289</v>
      </c>
      <c r="N16" s="9">
        <f>J16*M16</f>
        <v>0.99658584273820938</v>
      </c>
      <c r="O16" s="23" t="s">
        <v>63</v>
      </c>
    </row>
    <row r="17" spans="1:15" ht="67.5" customHeight="1">
      <c r="A17" s="17">
        <v>14</v>
      </c>
      <c r="B17" s="24" t="s">
        <v>34</v>
      </c>
      <c r="C17" s="2">
        <v>44</v>
      </c>
      <c r="D17" s="2">
        <v>35</v>
      </c>
      <c r="E17" s="2">
        <v>54</v>
      </c>
      <c r="F17" s="2">
        <v>52</v>
      </c>
      <c r="G17" s="11">
        <v>467569.5</v>
      </c>
      <c r="H17" s="11">
        <v>394566.7</v>
      </c>
      <c r="I17" s="10" t="s">
        <v>56</v>
      </c>
      <c r="J17" s="9">
        <f>(35+0.984+0.938+0.863+0.999+0.997+0.82+0.994+0.972+0.924)/44</f>
        <v>0.98843181818181836</v>
      </c>
      <c r="K17" s="9">
        <f t="shared" si="3"/>
        <v>0.96296296296296291</v>
      </c>
      <c r="L17" s="9">
        <f t="shared" si="4"/>
        <v>0.84386748921818044</v>
      </c>
      <c r="M17" s="9">
        <f t="shared" si="5"/>
        <v>1.141130539174013</v>
      </c>
      <c r="N17" s="9">
        <f t="shared" ref="N17:N21" si="9">J17*M17</f>
        <v>1.1279297336185683</v>
      </c>
      <c r="O17" s="23" t="s">
        <v>63</v>
      </c>
    </row>
    <row r="18" spans="1:15" ht="78.75" customHeight="1">
      <c r="A18" s="17">
        <v>15</v>
      </c>
      <c r="B18" s="24" t="s">
        <v>35</v>
      </c>
      <c r="C18" s="2">
        <v>13</v>
      </c>
      <c r="D18" s="2">
        <v>9</v>
      </c>
      <c r="E18" s="2">
        <v>20</v>
      </c>
      <c r="F18" s="2">
        <v>20</v>
      </c>
      <c r="G18" s="11">
        <v>86226.3</v>
      </c>
      <c r="H18" s="11">
        <v>83039.3</v>
      </c>
      <c r="I18" s="10" t="s">
        <v>57</v>
      </c>
      <c r="J18" s="9">
        <f>(8+0.997+0.983+0.9974+0.991+0.991)/13</f>
        <v>0.9968769230769231</v>
      </c>
      <c r="K18" s="9">
        <f t="shared" si="3"/>
        <v>1</v>
      </c>
      <c r="L18" s="9">
        <f>H18/G18</f>
        <v>0.96303911915506057</v>
      </c>
      <c r="M18" s="9">
        <f t="shared" si="5"/>
        <v>1.0383794179382533</v>
      </c>
      <c r="N18" s="9">
        <f t="shared" si="9"/>
        <v>1.0351364791406923</v>
      </c>
      <c r="O18" s="23" t="s">
        <v>63</v>
      </c>
    </row>
    <row r="19" spans="1:15" ht="33.75" customHeight="1">
      <c r="A19" s="17">
        <v>16</v>
      </c>
      <c r="B19" s="24" t="s">
        <v>36</v>
      </c>
      <c r="C19" s="2">
        <v>27</v>
      </c>
      <c r="D19" s="2">
        <v>17</v>
      </c>
      <c r="E19" s="2">
        <v>16</v>
      </c>
      <c r="F19" s="2">
        <v>15</v>
      </c>
      <c r="G19" s="11">
        <v>316174.8</v>
      </c>
      <c r="H19" s="11">
        <v>308822</v>
      </c>
      <c r="I19" s="10" t="s">
        <v>58</v>
      </c>
      <c r="J19" s="9">
        <f>(17+0.97+0.863+0.81+0.959+0.925+0.695+0.923+0.209+0.879+0.932)/27</f>
        <v>0.93203703703703689</v>
      </c>
      <c r="K19" s="9">
        <f t="shared" si="3"/>
        <v>0.9375</v>
      </c>
      <c r="L19" s="9">
        <f t="shared" si="4"/>
        <v>0.97674450968261861</v>
      </c>
      <c r="M19" s="9">
        <f t="shared" si="5"/>
        <v>0.95982111054264263</v>
      </c>
      <c r="N19" s="9">
        <f t="shared" si="9"/>
        <v>0.89458882395576289</v>
      </c>
      <c r="O19" s="21" t="s">
        <v>62</v>
      </c>
    </row>
    <row r="20" spans="1:15" ht="128.25" customHeight="1">
      <c r="A20" s="17">
        <v>17</v>
      </c>
      <c r="B20" s="24" t="s">
        <v>37</v>
      </c>
      <c r="C20" s="2">
        <v>51</v>
      </c>
      <c r="D20" s="2">
        <v>40</v>
      </c>
      <c r="E20" s="2">
        <v>50</v>
      </c>
      <c r="F20" s="2">
        <v>42</v>
      </c>
      <c r="G20" s="19">
        <v>3280263.9</v>
      </c>
      <c r="H20" s="19">
        <v>3098101.8</v>
      </c>
      <c r="I20" s="10" t="s">
        <v>59</v>
      </c>
      <c r="J20" s="9">
        <f>(40+0.521+0.94+0.885+0.382+0.749+0.09+0.91+0.143+0.98+0.9+0.93)/51</f>
        <v>0.92999999999999983</v>
      </c>
      <c r="K20" s="9">
        <f t="shared" si="3"/>
        <v>0.84</v>
      </c>
      <c r="L20" s="9">
        <f>H20/G20</f>
        <v>0.94446724240692947</v>
      </c>
      <c r="M20" s="9">
        <f>K20/L20</f>
        <v>0.8893902956965456</v>
      </c>
      <c r="N20" s="9">
        <f>J20*M20</f>
        <v>0.82713297499778726</v>
      </c>
      <c r="O20" s="21" t="s">
        <v>62</v>
      </c>
    </row>
    <row r="21" spans="1:15" ht="95.25" customHeight="1">
      <c r="A21" s="17">
        <v>18</v>
      </c>
      <c r="B21" s="24" t="s">
        <v>38</v>
      </c>
      <c r="C21" s="2">
        <v>14</v>
      </c>
      <c r="D21" s="2">
        <v>11</v>
      </c>
      <c r="E21" s="2">
        <v>9</v>
      </c>
      <c r="F21" s="2">
        <v>8</v>
      </c>
      <c r="G21" s="19">
        <v>57433.2</v>
      </c>
      <c r="H21" s="19">
        <v>54068.4</v>
      </c>
      <c r="I21" s="9"/>
      <c r="J21" s="9">
        <f>(11+0.75+0.97+0.98)/14</f>
        <v>0.97857142857142865</v>
      </c>
      <c r="K21" s="9">
        <f t="shared" si="3"/>
        <v>0.88888888888888884</v>
      </c>
      <c r="L21" s="9">
        <f t="shared" si="4"/>
        <v>0.94141367710662138</v>
      </c>
      <c r="M21" s="9">
        <f t="shared" si="5"/>
        <v>0.94420647426839566</v>
      </c>
      <c r="N21" s="9">
        <f t="shared" si="9"/>
        <v>0.9239734783912158</v>
      </c>
      <c r="O21" s="21" t="s">
        <v>63</v>
      </c>
    </row>
    <row r="22" spans="1:15" ht="51.75" customHeight="1">
      <c r="A22" s="17">
        <v>19</v>
      </c>
      <c r="B22" s="24" t="s">
        <v>39</v>
      </c>
      <c r="C22" s="2">
        <v>19</v>
      </c>
      <c r="D22" s="2">
        <v>17</v>
      </c>
      <c r="E22" s="2">
        <v>31</v>
      </c>
      <c r="F22" s="2">
        <v>31</v>
      </c>
      <c r="G22" s="11">
        <v>262545.3</v>
      </c>
      <c r="H22" s="11">
        <v>258902.6</v>
      </c>
      <c r="I22" s="9"/>
      <c r="J22" s="9">
        <f>(17+0.88+0.97)/19</f>
        <v>0.9921052631578946</v>
      </c>
      <c r="K22" s="9">
        <f t="shared" si="3"/>
        <v>1</v>
      </c>
      <c r="L22" s="9">
        <f t="shared" si="4"/>
        <v>0.98612544197134744</v>
      </c>
      <c r="M22" s="9">
        <f t="shared" si="5"/>
        <v>1.0140697698671237</v>
      </c>
      <c r="N22" s="9">
        <f t="shared" si="6"/>
        <v>1.0060639558944884</v>
      </c>
      <c r="O22" s="23" t="s">
        <v>63</v>
      </c>
    </row>
    <row r="23" spans="1:15" ht="47.25">
      <c r="A23" s="17">
        <v>20</v>
      </c>
      <c r="B23" s="24" t="s">
        <v>40</v>
      </c>
      <c r="C23" s="2">
        <v>39</v>
      </c>
      <c r="D23" s="2">
        <v>20</v>
      </c>
      <c r="E23" s="2">
        <v>21</v>
      </c>
      <c r="F23" s="2">
        <v>16</v>
      </c>
      <c r="G23" s="11">
        <v>619653.30000000005</v>
      </c>
      <c r="H23" s="11">
        <v>609536.30000000005</v>
      </c>
      <c r="I23" s="9"/>
      <c r="J23" s="9">
        <f>(20+0.973+0.778+0.826+0.896+0.966+0.765+0.488+0.954+0.937+0.972+0.772+0.881+0.773+0.994+0+0.95+0.768+0.989+0.802)/39</f>
        <v>0.90984615384615386</v>
      </c>
      <c r="K23" s="9">
        <f t="shared" ref="K23" si="10">F23/E23</f>
        <v>0.76190476190476186</v>
      </c>
      <c r="L23" s="9">
        <f t="shared" ref="L23" si="11">H23/G23</f>
        <v>0.9836731281831308</v>
      </c>
      <c r="M23" s="9">
        <f t="shared" ref="M23" si="12">K23/L23</f>
        <v>0.77455075276074614</v>
      </c>
      <c r="N23" s="9">
        <f t="shared" ref="N23" si="13">J23*M23</f>
        <v>0.70472202335800815</v>
      </c>
      <c r="O23" s="22" t="s">
        <v>67</v>
      </c>
    </row>
    <row r="24" spans="1:15" ht="48" customHeight="1">
      <c r="A24" s="17">
        <v>21</v>
      </c>
      <c r="B24" s="24" t="s">
        <v>41</v>
      </c>
      <c r="C24" s="2">
        <v>13</v>
      </c>
      <c r="D24" s="2">
        <v>12</v>
      </c>
      <c r="E24" s="2">
        <v>24</v>
      </c>
      <c r="F24" s="2">
        <v>21</v>
      </c>
      <c r="G24" s="16">
        <v>7875393.5999999996</v>
      </c>
      <c r="H24" s="16">
        <v>7515608.5</v>
      </c>
      <c r="I24" s="8" t="s">
        <v>50</v>
      </c>
      <c r="J24" s="9">
        <f>(17+0.9905+0.99)/19</f>
        <v>0.99897368421052624</v>
      </c>
      <c r="K24" s="9">
        <f t="shared" si="3"/>
        <v>0.875</v>
      </c>
      <c r="L24" s="9">
        <f t="shared" si="4"/>
        <v>0.95431528654009123</v>
      </c>
      <c r="M24" s="9">
        <f t="shared" si="5"/>
        <v>0.91688775433153547</v>
      </c>
      <c r="N24" s="9">
        <f t="shared" si="6"/>
        <v>0.91594673795208992</v>
      </c>
      <c r="O24" s="23" t="s">
        <v>63</v>
      </c>
    </row>
    <row r="25" spans="1:15" ht="63">
      <c r="A25" s="17">
        <v>22</v>
      </c>
      <c r="B25" s="24" t="s">
        <v>42</v>
      </c>
      <c r="C25" s="2">
        <v>26</v>
      </c>
      <c r="D25" s="2">
        <v>21</v>
      </c>
      <c r="E25" s="2">
        <v>32</v>
      </c>
      <c r="F25" s="2">
        <v>28</v>
      </c>
      <c r="G25" s="16">
        <v>5090968</v>
      </c>
      <c r="H25" s="16">
        <v>4725236.5999999996</v>
      </c>
      <c r="I25" s="9"/>
      <c r="J25" s="9">
        <f>(137.7/145.5+769/1000+4.5/10+97.3/120+11.5/11.7+21)/26</f>
        <v>0.95996657956987064</v>
      </c>
      <c r="K25" s="9">
        <f>F25/E25</f>
        <v>0.875</v>
      </c>
      <c r="L25" s="9">
        <f t="shared" si="4"/>
        <v>0.9281607348543538</v>
      </c>
      <c r="M25" s="9">
        <f t="shared" si="5"/>
        <v>0.94272464578810722</v>
      </c>
      <c r="N25" s="9">
        <f t="shared" si="6"/>
        <v>0.90498415369342711</v>
      </c>
      <c r="O25" s="22" t="s">
        <v>63</v>
      </c>
    </row>
    <row r="26" spans="1:15" ht="31.5">
      <c r="A26" s="17">
        <v>23</v>
      </c>
      <c r="B26" s="24" t="s">
        <v>43</v>
      </c>
      <c r="C26" s="2">
        <v>10</v>
      </c>
      <c r="D26" s="2">
        <v>10</v>
      </c>
      <c r="E26" s="2">
        <v>16</v>
      </c>
      <c r="F26" s="2">
        <v>13</v>
      </c>
      <c r="G26" s="11">
        <v>149635.79999999999</v>
      </c>
      <c r="H26" s="17">
        <v>144445.29999999999</v>
      </c>
      <c r="I26" s="9"/>
      <c r="J26" s="9">
        <v>1</v>
      </c>
      <c r="K26" s="9">
        <f>F26/E26</f>
        <v>0.8125</v>
      </c>
      <c r="L26" s="9">
        <f t="shared" si="4"/>
        <v>0.96531244528381577</v>
      </c>
      <c r="M26" s="9">
        <f>K26/L26</f>
        <v>0.84169638956753867</v>
      </c>
      <c r="N26" s="9">
        <f>J26*M26</f>
        <v>0.84169638956753867</v>
      </c>
      <c r="O26" s="22" t="s">
        <v>62</v>
      </c>
    </row>
    <row r="27" spans="1:15" ht="192" customHeight="1">
      <c r="A27" s="17">
        <v>24</v>
      </c>
      <c r="B27" s="24" t="s">
        <v>44</v>
      </c>
      <c r="C27" s="2">
        <v>4</v>
      </c>
      <c r="D27" s="2">
        <v>4</v>
      </c>
      <c r="E27" s="2">
        <v>6</v>
      </c>
      <c r="F27" s="2">
        <v>6</v>
      </c>
      <c r="G27" s="11">
        <v>18595.099999999999</v>
      </c>
      <c r="H27" s="11">
        <v>17729.099999999999</v>
      </c>
      <c r="I27" s="9" t="s">
        <v>49</v>
      </c>
      <c r="J27" s="9">
        <v>1</v>
      </c>
      <c r="K27" s="9">
        <f t="shared" si="3"/>
        <v>1</v>
      </c>
      <c r="L27" s="9">
        <f t="shared" si="4"/>
        <v>0.95342859140311154</v>
      </c>
      <c r="M27" s="9">
        <f t="shared" si="5"/>
        <v>1.0488462471304241</v>
      </c>
      <c r="N27" s="9">
        <f t="shared" si="6"/>
        <v>1.0488462471304241</v>
      </c>
      <c r="O27" s="23" t="s">
        <v>63</v>
      </c>
    </row>
    <row r="28" spans="1:15" ht="47.25">
      <c r="A28" s="17">
        <v>25</v>
      </c>
      <c r="B28" s="24" t="s">
        <v>70</v>
      </c>
      <c r="C28" s="2">
        <v>14</v>
      </c>
      <c r="D28" s="2">
        <v>11</v>
      </c>
      <c r="E28" s="2">
        <v>29</v>
      </c>
      <c r="F28" s="2">
        <v>27</v>
      </c>
      <c r="G28" s="11">
        <v>45961.9</v>
      </c>
      <c r="H28" s="11">
        <v>42729.8</v>
      </c>
      <c r="I28" s="9"/>
      <c r="J28" s="9">
        <f>(11+0.9989+0.78+0.983)/14</f>
        <v>0.98299285714285722</v>
      </c>
      <c r="K28" s="9">
        <f t="shared" si="3"/>
        <v>0.93103448275862066</v>
      </c>
      <c r="L28" s="9">
        <f t="shared" si="4"/>
        <v>0.92967871215071618</v>
      </c>
      <c r="M28" s="9">
        <f t="shared" si="5"/>
        <v>1.0014583216655226</v>
      </c>
      <c r="N28" s="9">
        <f>J28*M28</f>
        <v>0.98442637692348267</v>
      </c>
      <c r="O28" s="23" t="s">
        <v>63</v>
      </c>
    </row>
    <row r="29" spans="1:15" ht="47.25">
      <c r="A29" s="17">
        <v>26</v>
      </c>
      <c r="B29" s="24" t="s">
        <v>45</v>
      </c>
      <c r="C29" s="2">
        <v>29</v>
      </c>
      <c r="D29" s="2">
        <v>25</v>
      </c>
      <c r="E29" s="2">
        <v>82</v>
      </c>
      <c r="F29" s="2">
        <v>82</v>
      </c>
      <c r="G29" s="11">
        <v>5958484.7999999998</v>
      </c>
      <c r="H29" s="11">
        <v>5197035</v>
      </c>
      <c r="I29" s="9"/>
      <c r="J29" s="9">
        <f>(51207494/51492659+92.3/100+10/20+50/55.5+25)/29</f>
        <v>0.97649527334591912</v>
      </c>
      <c r="K29" s="9">
        <f t="shared" si="3"/>
        <v>1</v>
      </c>
      <c r="L29" s="9">
        <f t="shared" si="4"/>
        <v>0.87220747798165066</v>
      </c>
      <c r="M29" s="9">
        <f t="shared" si="5"/>
        <v>1.1465161962542103</v>
      </c>
      <c r="N29" s="9">
        <f t="shared" ref="N29" si="14">J29*M29</f>
        <v>1.1195676464567785</v>
      </c>
      <c r="O29" s="23" t="s">
        <v>63</v>
      </c>
    </row>
  </sheetData>
  <mergeCells count="3">
    <mergeCell ref="A1:N1"/>
    <mergeCell ref="A2:A3"/>
    <mergeCell ref="B2:B3"/>
  </mergeCells>
  <printOptions horizontalCentered="1"/>
  <pageMargins left="0.15748031496062992" right="0" top="0.74803149606299213" bottom="0.74803149606299213" header="0.31496062992125984" footer="0.31496062992125984"/>
  <pageSetup paperSize="9" scale="75" fitToWidth="2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ОЭфР ГП</vt:lpstr>
      <vt:lpstr>'ОЭфР ГП'!Заголовки_для_печати</vt:lpstr>
      <vt:lpstr>'ОЭфР ГП'!Область_печати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2015-07-08T06:16:58Z</dcterms:modified>
</cp:coreProperties>
</file>