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5.xml" ContentType="application/vnd.openxmlformats-officedocument.spreadsheetml.pivotTab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slicers/slicer1.xml" ContentType="application/vnd.ms-excel.slicer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pivotTables/pivotTable9.xml" ContentType="application/vnd.openxmlformats-officedocument.spreadsheetml.pivotTab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pivotTables/pivotTable10.xml" ContentType="application/vnd.openxmlformats-officedocument.spreadsheetml.pivotTab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pivotTables/pivotTable11.xml" ContentType="application/vnd.openxmlformats-officedocument.spreadsheetml.pivotTab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pivotTables/pivotTable12.xml" ContentType="application/vnd.openxmlformats-officedocument.spreadsheetml.pivotTable+xml"/>
  <Override PartName="/xl/drawings/drawing11.xml" ContentType="application/vnd.openxmlformats-officedocument.drawing+xml"/>
  <Override PartName="/xl/slicers/slicer2.xml" ContentType="application/vnd.ms-excel.slicer+xml"/>
  <Override PartName="/xl/charts/chart16.xml" ContentType="application/vnd.openxmlformats-officedocument.drawingml.chart+xml"/>
  <Override PartName="/xl/pivotTables/pivotTable13.xml" ContentType="application/vnd.openxmlformats-officedocument.spreadsheetml.pivotTabl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/>
  <bookViews>
    <workbookView xWindow="6900" yWindow="2130" windowWidth="21480" windowHeight="12345" firstSheet="7" activeTab="7"/>
  </bookViews>
  <sheets>
    <sheet name="план" sheetId="26" state="hidden" r:id="rId1"/>
    <sheet name="численность" sheetId="25" state="hidden" r:id="rId2"/>
    <sheet name="доход и расход" sheetId="23" state="hidden" r:id="rId3"/>
    <sheet name="доходы" sheetId="27" state="hidden" r:id="rId4"/>
    <sheet name="РзПр" sheetId="28" state="hidden" r:id="rId5"/>
    <sheet name="МП" sheetId="29" state="hidden" r:id="rId6"/>
    <sheet name="Бюджет" sheetId="22" state="hidden" r:id="rId7"/>
    <sheet name="Общие показатели" sheetId="24" r:id="rId8"/>
    <sheet name="СТ нал_ненал" sheetId="37" state="hidden" r:id="rId9"/>
    <sheet name="НСД" sheetId="38" state="hidden" r:id="rId10"/>
    <sheet name="Имущество" sheetId="40" state="hidden" r:id="rId11"/>
    <sheet name="Имущество 2" sheetId="41" state="hidden" r:id="rId12"/>
    <sheet name="Неналог" sheetId="42" state="hidden" r:id="rId13"/>
    <sheet name="Неналог 2" sheetId="43" state="hidden" r:id="rId14"/>
    <sheet name="Всего" sheetId="44" state="hidden" r:id="rId15"/>
    <sheet name="Доходы_УТ" sheetId="30" state="hidden" r:id="rId16"/>
  </sheets>
  <definedNames>
    <definedName name="_xlnm._FilterDatabase" localSheetId="6" hidden="1">Бюджет!$A$5:$J$232</definedName>
    <definedName name="Срез_год">#N/A</definedName>
    <definedName name="Срез_год1">#N/A</definedName>
  </definedNames>
  <calcPr calcId="145621"/>
  <pivotCaches>
    <pivotCache cacheId="0" r:id="rId17"/>
    <pivotCache cacheId="1" r:id="rId18"/>
  </pivotCaches>
  <extLst>
    <ext xmlns:x14="http://schemas.microsoft.com/office/spreadsheetml/2009/9/main" uri="{BBE1A952-AA13-448e-AADC-164F8A28A991}">
      <x14:slicerCaches>
        <x14:slicerCache r:id="rId19"/>
        <x14:slicerCache r:id="rId2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7" i="22" l="1"/>
  <c r="F18" i="28"/>
  <c r="F21" i="28"/>
  <c r="F22" i="28"/>
  <c r="F19" i="28"/>
  <c r="G149" i="22" l="1"/>
  <c r="G91" i="22"/>
  <c r="G36" i="22"/>
  <c r="H6" i="23"/>
  <c r="D17" i="28"/>
  <c r="H4" i="26"/>
  <c r="G12" i="23"/>
  <c r="C17" i="28" l="1"/>
  <c r="R13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D27" i="30"/>
  <c r="E27" i="30"/>
  <c r="F27" i="30"/>
  <c r="G27" i="30"/>
  <c r="H27" i="30"/>
  <c r="I27" i="30"/>
  <c r="R27" i="30" s="1"/>
  <c r="J27" i="30"/>
  <c r="K27" i="30"/>
  <c r="L27" i="30"/>
  <c r="M27" i="30"/>
  <c r="N27" i="30"/>
  <c r="O27" i="30"/>
  <c r="P27" i="30"/>
  <c r="D3" i="30"/>
  <c r="E3" i="30"/>
  <c r="F3" i="30"/>
  <c r="R3" i="30" s="1"/>
  <c r="G3" i="30"/>
  <c r="H3" i="30"/>
  <c r="I3" i="30"/>
  <c r="J3" i="30"/>
  <c r="K3" i="30"/>
  <c r="L3" i="30"/>
  <c r="M3" i="30"/>
  <c r="N3" i="30"/>
  <c r="O3" i="30"/>
  <c r="P3" i="30"/>
  <c r="Q3" i="30"/>
  <c r="R4" i="30"/>
  <c r="R5" i="30"/>
  <c r="R6" i="30"/>
  <c r="R7" i="30"/>
  <c r="R8" i="30"/>
  <c r="R9" i="30"/>
  <c r="R10" i="30"/>
  <c r="R11" i="30"/>
  <c r="R12" i="30"/>
  <c r="R14" i="30"/>
  <c r="Q15" i="30"/>
  <c r="R16" i="30"/>
  <c r="R17" i="30"/>
  <c r="R18" i="30"/>
  <c r="R19" i="30"/>
  <c r="R20" i="30"/>
  <c r="R21" i="30"/>
  <c r="R22" i="30"/>
  <c r="R23" i="30"/>
  <c r="R24" i="30"/>
  <c r="R25" i="30"/>
  <c r="R26" i="30"/>
  <c r="Q27" i="30"/>
  <c r="R28" i="30"/>
  <c r="R29" i="30"/>
  <c r="R30" i="30"/>
  <c r="R31" i="30"/>
  <c r="R32" i="30"/>
  <c r="R33" i="30"/>
  <c r="R34" i="30"/>
  <c r="R35" i="30"/>
  <c r="R36" i="30"/>
  <c r="R37" i="30"/>
  <c r="R38" i="30"/>
  <c r="R39" i="30"/>
  <c r="R40" i="30"/>
  <c r="R41" i="30"/>
  <c r="R42" i="30"/>
  <c r="R43" i="30"/>
  <c r="R44" i="30"/>
  <c r="R45" i="30"/>
  <c r="R46" i="30"/>
  <c r="R47" i="30"/>
  <c r="R48" i="30"/>
  <c r="R49" i="30"/>
  <c r="R2" i="30"/>
  <c r="C28" i="29"/>
  <c r="D23" i="28"/>
  <c r="I4" i="26"/>
  <c r="C12" i="23"/>
  <c r="H5" i="26"/>
  <c r="L16" i="27"/>
  <c r="C33" i="29"/>
  <c r="L20" i="27"/>
  <c r="K16" i="27" l="1"/>
  <c r="K20" i="27"/>
  <c r="R15" i="30"/>
  <c r="B28" i="29"/>
  <c r="C29" i="29"/>
  <c r="B29" i="29" l="1"/>
  <c r="C30" i="29"/>
  <c r="C31" i="29"/>
  <c r="B30" i="29" l="1"/>
  <c r="B31" i="29"/>
  <c r="L7" i="27"/>
  <c r="E13" i="23"/>
  <c r="L8" i="27"/>
  <c r="C40" i="29"/>
  <c r="D20" i="28"/>
  <c r="L24" i="27"/>
  <c r="B12" i="23"/>
  <c r="L6" i="27"/>
  <c r="C32" i="29"/>
  <c r="B32" i="29" l="1"/>
  <c r="Q53" i="30" l="1"/>
  <c r="Q54" i="30"/>
  <c r="Q55" i="30"/>
  <c r="Q56" i="30"/>
  <c r="Q57" i="30"/>
  <c r="Q58" i="30"/>
  <c r="Q59" i="30"/>
  <c r="Q60" i="30"/>
  <c r="Q61" i="30"/>
  <c r="Q62" i="30"/>
  <c r="Q63" i="30"/>
  <c r="Q64" i="30"/>
  <c r="Q65" i="30"/>
  <c r="Q66" i="30"/>
  <c r="Q67" i="30"/>
  <c r="Q68" i="30"/>
  <c r="Q69" i="30"/>
  <c r="Q70" i="30"/>
  <c r="Q71" i="30"/>
  <c r="Q72" i="30"/>
  <c r="Q73" i="30"/>
  <c r="Q74" i="30"/>
  <c r="Q75" i="30"/>
  <c r="Q76" i="30"/>
  <c r="Q77" i="30"/>
  <c r="Q78" i="30"/>
  <c r="Q79" i="30"/>
  <c r="Q80" i="30"/>
  <c r="Q81" i="30"/>
  <c r="Q82" i="30"/>
  <c r="Q83" i="30"/>
  <c r="Q84" i="30"/>
  <c r="Q85" i="30"/>
  <c r="Q86" i="30"/>
  <c r="Q87" i="30"/>
  <c r="Q88" i="30"/>
  <c r="Q89" i="30"/>
  <c r="Q90" i="30"/>
  <c r="Q91" i="30"/>
  <c r="Q92" i="30"/>
  <c r="Q93" i="30"/>
  <c r="Q94" i="30"/>
  <c r="Q95" i="30"/>
  <c r="Q96" i="30"/>
  <c r="D54" i="30" l="1"/>
  <c r="E54" i="30"/>
  <c r="F54" i="30"/>
  <c r="G54" i="30"/>
  <c r="H54" i="30"/>
  <c r="I54" i="30"/>
  <c r="J54" i="30"/>
  <c r="K54" i="30"/>
  <c r="L54" i="30"/>
  <c r="M54" i="30"/>
  <c r="N54" i="30"/>
  <c r="O54" i="30"/>
  <c r="P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D56" i="30"/>
  <c r="E56" i="30"/>
  <c r="F56" i="30"/>
  <c r="G56" i="30"/>
  <c r="H56" i="30"/>
  <c r="I56" i="30"/>
  <c r="J56" i="30"/>
  <c r="K56" i="30"/>
  <c r="L56" i="30"/>
  <c r="M56" i="30"/>
  <c r="N56" i="30"/>
  <c r="O56" i="30"/>
  <c r="P56" i="30"/>
  <c r="D57" i="30"/>
  <c r="E57" i="30"/>
  <c r="F57" i="30"/>
  <c r="G57" i="30"/>
  <c r="H57" i="30"/>
  <c r="I57" i="30"/>
  <c r="J57" i="30"/>
  <c r="K57" i="30"/>
  <c r="L57" i="30"/>
  <c r="M57" i="30"/>
  <c r="N57" i="30"/>
  <c r="O57" i="30"/>
  <c r="P57" i="30"/>
  <c r="D58" i="30"/>
  <c r="E58" i="30"/>
  <c r="F58" i="30"/>
  <c r="G58" i="30"/>
  <c r="H58" i="30"/>
  <c r="I58" i="30"/>
  <c r="J58" i="30"/>
  <c r="K58" i="30"/>
  <c r="L58" i="30"/>
  <c r="M58" i="30"/>
  <c r="N58" i="30"/>
  <c r="O58" i="30"/>
  <c r="P58" i="30"/>
  <c r="D59" i="30"/>
  <c r="E59" i="30"/>
  <c r="F59" i="30"/>
  <c r="G59" i="30"/>
  <c r="H59" i="30"/>
  <c r="I59" i="30"/>
  <c r="J59" i="30"/>
  <c r="K59" i="30"/>
  <c r="L59" i="30"/>
  <c r="M59" i="30"/>
  <c r="N59" i="30"/>
  <c r="O59" i="30"/>
  <c r="P59" i="30"/>
  <c r="D60" i="30"/>
  <c r="E60" i="30"/>
  <c r="F60" i="30"/>
  <c r="G60" i="30"/>
  <c r="H60" i="30"/>
  <c r="I60" i="30"/>
  <c r="J60" i="30"/>
  <c r="K60" i="30"/>
  <c r="L60" i="30"/>
  <c r="M60" i="30"/>
  <c r="N60" i="30"/>
  <c r="O60" i="30"/>
  <c r="P60" i="30"/>
  <c r="D61" i="30"/>
  <c r="E61" i="30"/>
  <c r="F61" i="30"/>
  <c r="G61" i="30"/>
  <c r="H61" i="30"/>
  <c r="I61" i="30"/>
  <c r="J61" i="30"/>
  <c r="K61" i="30"/>
  <c r="L61" i="30"/>
  <c r="M61" i="30"/>
  <c r="N61" i="30"/>
  <c r="O61" i="30"/>
  <c r="P61" i="30"/>
  <c r="D62" i="30"/>
  <c r="E62" i="30"/>
  <c r="F62" i="30"/>
  <c r="G62" i="30"/>
  <c r="H62" i="30"/>
  <c r="I62" i="30"/>
  <c r="J62" i="30"/>
  <c r="K62" i="30"/>
  <c r="L62" i="30"/>
  <c r="M62" i="30"/>
  <c r="N62" i="30"/>
  <c r="O62" i="30"/>
  <c r="P62" i="30"/>
  <c r="D63" i="30"/>
  <c r="E63" i="30"/>
  <c r="F63" i="30"/>
  <c r="G63" i="30"/>
  <c r="H63" i="30"/>
  <c r="I63" i="30"/>
  <c r="J63" i="30"/>
  <c r="K63" i="30"/>
  <c r="L63" i="30"/>
  <c r="M63" i="30"/>
  <c r="N63" i="30"/>
  <c r="O63" i="30"/>
  <c r="P63" i="30"/>
  <c r="D64" i="30"/>
  <c r="E64" i="30"/>
  <c r="F64" i="30"/>
  <c r="G64" i="30"/>
  <c r="H64" i="30"/>
  <c r="I64" i="30"/>
  <c r="J64" i="30"/>
  <c r="K64" i="30"/>
  <c r="L64" i="30"/>
  <c r="M64" i="30"/>
  <c r="N64" i="30"/>
  <c r="O64" i="30"/>
  <c r="P64" i="30"/>
  <c r="D65" i="30"/>
  <c r="E65" i="30"/>
  <c r="F65" i="30"/>
  <c r="G65" i="30"/>
  <c r="H65" i="30"/>
  <c r="I65" i="30"/>
  <c r="J65" i="30"/>
  <c r="K65" i="30"/>
  <c r="L65" i="30"/>
  <c r="M65" i="30"/>
  <c r="N65" i="30"/>
  <c r="O65" i="30"/>
  <c r="P65" i="30"/>
  <c r="D66" i="30"/>
  <c r="E66" i="30"/>
  <c r="F66" i="30"/>
  <c r="G66" i="30"/>
  <c r="H66" i="30"/>
  <c r="I66" i="30"/>
  <c r="J66" i="30"/>
  <c r="K66" i="30"/>
  <c r="L66" i="30"/>
  <c r="M66" i="30"/>
  <c r="N66" i="30"/>
  <c r="O66" i="30"/>
  <c r="P66" i="30"/>
  <c r="D67" i="30"/>
  <c r="E67" i="30"/>
  <c r="F67" i="30"/>
  <c r="G67" i="30"/>
  <c r="H67" i="30"/>
  <c r="I67" i="30"/>
  <c r="J67" i="30"/>
  <c r="K67" i="30"/>
  <c r="L67" i="30"/>
  <c r="M67" i="30"/>
  <c r="N67" i="30"/>
  <c r="O67" i="30"/>
  <c r="P67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D69" i="30"/>
  <c r="E69" i="30"/>
  <c r="F69" i="30"/>
  <c r="G69" i="30"/>
  <c r="H69" i="30"/>
  <c r="I69" i="30"/>
  <c r="J69" i="30"/>
  <c r="K69" i="30"/>
  <c r="L69" i="30"/>
  <c r="M69" i="30"/>
  <c r="N69" i="30"/>
  <c r="O69" i="30"/>
  <c r="P69" i="30"/>
  <c r="D70" i="30"/>
  <c r="E70" i="30"/>
  <c r="F70" i="30"/>
  <c r="G70" i="30"/>
  <c r="H70" i="30"/>
  <c r="I70" i="30"/>
  <c r="J70" i="30"/>
  <c r="K70" i="30"/>
  <c r="L70" i="30"/>
  <c r="M70" i="30"/>
  <c r="N70" i="30"/>
  <c r="O70" i="30"/>
  <c r="P70" i="30"/>
  <c r="D71" i="30"/>
  <c r="E71" i="30"/>
  <c r="F71" i="30"/>
  <c r="G71" i="30"/>
  <c r="H71" i="30"/>
  <c r="I71" i="30"/>
  <c r="J71" i="30"/>
  <c r="K71" i="30"/>
  <c r="L71" i="30"/>
  <c r="M71" i="30"/>
  <c r="N71" i="30"/>
  <c r="O71" i="30"/>
  <c r="P71" i="30"/>
  <c r="D72" i="30"/>
  <c r="E72" i="30"/>
  <c r="F72" i="30"/>
  <c r="G72" i="30"/>
  <c r="H72" i="30"/>
  <c r="I72" i="30"/>
  <c r="J72" i="30"/>
  <c r="K72" i="30"/>
  <c r="L72" i="30"/>
  <c r="M72" i="30"/>
  <c r="N72" i="30"/>
  <c r="O72" i="30"/>
  <c r="P72" i="30"/>
  <c r="D73" i="30"/>
  <c r="E73" i="30"/>
  <c r="F73" i="30"/>
  <c r="G73" i="30"/>
  <c r="H73" i="30"/>
  <c r="I73" i="30"/>
  <c r="J73" i="30"/>
  <c r="K73" i="30"/>
  <c r="L73" i="30"/>
  <c r="M73" i="30"/>
  <c r="N73" i="30"/>
  <c r="O73" i="30"/>
  <c r="P73" i="30"/>
  <c r="D74" i="30"/>
  <c r="E74" i="30"/>
  <c r="F74" i="30"/>
  <c r="G74" i="30"/>
  <c r="H74" i="30"/>
  <c r="I74" i="30"/>
  <c r="J74" i="30"/>
  <c r="K74" i="30"/>
  <c r="L74" i="30"/>
  <c r="M74" i="30"/>
  <c r="N74" i="30"/>
  <c r="O74" i="30"/>
  <c r="P74" i="30"/>
  <c r="D75" i="30"/>
  <c r="E75" i="30"/>
  <c r="F75" i="30"/>
  <c r="G75" i="30"/>
  <c r="H75" i="30"/>
  <c r="I75" i="30"/>
  <c r="J75" i="30"/>
  <c r="K75" i="30"/>
  <c r="L75" i="30"/>
  <c r="M75" i="30"/>
  <c r="N75" i="30"/>
  <c r="O75" i="30"/>
  <c r="P75" i="30"/>
  <c r="D76" i="30"/>
  <c r="E76" i="30"/>
  <c r="F76" i="30"/>
  <c r="G76" i="30"/>
  <c r="H76" i="30"/>
  <c r="I76" i="30"/>
  <c r="J76" i="30"/>
  <c r="K76" i="30"/>
  <c r="L76" i="30"/>
  <c r="M76" i="30"/>
  <c r="N76" i="30"/>
  <c r="O76" i="30"/>
  <c r="P76" i="30"/>
  <c r="D77" i="30"/>
  <c r="E77" i="30"/>
  <c r="F77" i="30"/>
  <c r="G77" i="30"/>
  <c r="H77" i="30"/>
  <c r="I77" i="30"/>
  <c r="J77" i="30"/>
  <c r="K77" i="30"/>
  <c r="L77" i="30"/>
  <c r="M77" i="30"/>
  <c r="N77" i="30"/>
  <c r="O77" i="30"/>
  <c r="P77" i="30"/>
  <c r="D78" i="30"/>
  <c r="E78" i="30"/>
  <c r="F78" i="30"/>
  <c r="G78" i="30"/>
  <c r="H78" i="30"/>
  <c r="I78" i="30"/>
  <c r="J78" i="30"/>
  <c r="K78" i="30"/>
  <c r="L78" i="30"/>
  <c r="M78" i="30"/>
  <c r="N78" i="30"/>
  <c r="O78" i="30"/>
  <c r="P78" i="30"/>
  <c r="D79" i="30"/>
  <c r="E79" i="30"/>
  <c r="F79" i="30"/>
  <c r="G79" i="30"/>
  <c r="H79" i="30"/>
  <c r="I79" i="30"/>
  <c r="J79" i="30"/>
  <c r="K79" i="30"/>
  <c r="L79" i="30"/>
  <c r="M79" i="30"/>
  <c r="N79" i="30"/>
  <c r="O79" i="30"/>
  <c r="P79" i="30"/>
  <c r="D80" i="30"/>
  <c r="E80" i="30"/>
  <c r="F80" i="30"/>
  <c r="G80" i="30"/>
  <c r="H80" i="30"/>
  <c r="I80" i="30"/>
  <c r="J80" i="30"/>
  <c r="K80" i="30"/>
  <c r="L80" i="30"/>
  <c r="M80" i="30"/>
  <c r="N80" i="30"/>
  <c r="O80" i="30"/>
  <c r="P80" i="30"/>
  <c r="D81" i="30"/>
  <c r="E81" i="30"/>
  <c r="F81" i="30"/>
  <c r="G81" i="30"/>
  <c r="H81" i="30"/>
  <c r="I81" i="30"/>
  <c r="J81" i="30"/>
  <c r="K81" i="30"/>
  <c r="L81" i="30"/>
  <c r="M81" i="30"/>
  <c r="N81" i="30"/>
  <c r="O81" i="30"/>
  <c r="P81" i="30"/>
  <c r="D82" i="30"/>
  <c r="E82" i="30"/>
  <c r="F82" i="30"/>
  <c r="G82" i="30"/>
  <c r="H82" i="30"/>
  <c r="I82" i="30"/>
  <c r="J82" i="30"/>
  <c r="K82" i="30"/>
  <c r="L82" i="30"/>
  <c r="M82" i="30"/>
  <c r="N82" i="30"/>
  <c r="O82" i="30"/>
  <c r="P82" i="30"/>
  <c r="D83" i="30"/>
  <c r="E83" i="30"/>
  <c r="F83" i="30"/>
  <c r="G83" i="30"/>
  <c r="H83" i="30"/>
  <c r="I83" i="30"/>
  <c r="J83" i="30"/>
  <c r="K83" i="30"/>
  <c r="L83" i="30"/>
  <c r="M83" i="30"/>
  <c r="N83" i="30"/>
  <c r="O83" i="30"/>
  <c r="P83" i="30"/>
  <c r="D84" i="30"/>
  <c r="E84" i="30"/>
  <c r="F84" i="30"/>
  <c r="G84" i="30"/>
  <c r="H84" i="30"/>
  <c r="I84" i="30"/>
  <c r="J84" i="30"/>
  <c r="K84" i="30"/>
  <c r="L84" i="30"/>
  <c r="M84" i="30"/>
  <c r="N84" i="30"/>
  <c r="O84" i="30"/>
  <c r="P84" i="30"/>
  <c r="D85" i="30"/>
  <c r="E85" i="30"/>
  <c r="F85" i="30"/>
  <c r="G85" i="30"/>
  <c r="H85" i="30"/>
  <c r="I85" i="30"/>
  <c r="J85" i="30"/>
  <c r="K85" i="30"/>
  <c r="L85" i="30"/>
  <c r="M85" i="30"/>
  <c r="N85" i="30"/>
  <c r="O85" i="30"/>
  <c r="P85" i="30"/>
  <c r="D86" i="30"/>
  <c r="E86" i="30"/>
  <c r="F86" i="30"/>
  <c r="G86" i="30"/>
  <c r="H86" i="30"/>
  <c r="I86" i="30"/>
  <c r="J86" i="30"/>
  <c r="K86" i="30"/>
  <c r="L86" i="30"/>
  <c r="M86" i="30"/>
  <c r="N86" i="30"/>
  <c r="O86" i="30"/>
  <c r="P86" i="30"/>
  <c r="D87" i="30"/>
  <c r="E87" i="30"/>
  <c r="F87" i="30"/>
  <c r="G87" i="30"/>
  <c r="H87" i="30"/>
  <c r="I87" i="30"/>
  <c r="J87" i="30"/>
  <c r="K87" i="30"/>
  <c r="L87" i="30"/>
  <c r="M87" i="30"/>
  <c r="N87" i="30"/>
  <c r="O87" i="30"/>
  <c r="P87" i="30"/>
  <c r="D88" i="30"/>
  <c r="E88" i="30"/>
  <c r="F88" i="30"/>
  <c r="G88" i="30"/>
  <c r="H88" i="30"/>
  <c r="I88" i="30"/>
  <c r="J88" i="30"/>
  <c r="K88" i="30"/>
  <c r="L88" i="30"/>
  <c r="M88" i="30"/>
  <c r="N88" i="30"/>
  <c r="O88" i="30"/>
  <c r="P88" i="30"/>
  <c r="D89" i="30"/>
  <c r="E89" i="30"/>
  <c r="F89" i="30"/>
  <c r="G89" i="30"/>
  <c r="H89" i="30"/>
  <c r="I89" i="30"/>
  <c r="J89" i="30"/>
  <c r="K89" i="30"/>
  <c r="L89" i="30"/>
  <c r="M89" i="30"/>
  <c r="N89" i="30"/>
  <c r="O89" i="30"/>
  <c r="P89" i="30"/>
  <c r="D90" i="30"/>
  <c r="E90" i="30"/>
  <c r="F90" i="30"/>
  <c r="G90" i="30"/>
  <c r="H90" i="30"/>
  <c r="I90" i="30"/>
  <c r="J90" i="30"/>
  <c r="K90" i="30"/>
  <c r="L90" i="30"/>
  <c r="M90" i="30"/>
  <c r="N90" i="30"/>
  <c r="O90" i="30"/>
  <c r="P90" i="30"/>
  <c r="D91" i="30"/>
  <c r="E91" i="30"/>
  <c r="F91" i="30"/>
  <c r="G91" i="30"/>
  <c r="H91" i="30"/>
  <c r="I91" i="30"/>
  <c r="J91" i="30"/>
  <c r="K91" i="30"/>
  <c r="L91" i="30"/>
  <c r="M91" i="30"/>
  <c r="N91" i="30"/>
  <c r="O91" i="30"/>
  <c r="P91" i="30"/>
  <c r="D92" i="30"/>
  <c r="E92" i="30"/>
  <c r="F92" i="30"/>
  <c r="G92" i="30"/>
  <c r="H92" i="30"/>
  <c r="I92" i="30"/>
  <c r="J92" i="30"/>
  <c r="K92" i="30"/>
  <c r="L92" i="30"/>
  <c r="M92" i="30"/>
  <c r="N92" i="30"/>
  <c r="O92" i="30"/>
  <c r="P92" i="30"/>
  <c r="D93" i="30"/>
  <c r="E93" i="30"/>
  <c r="F93" i="30"/>
  <c r="G93" i="30"/>
  <c r="H93" i="30"/>
  <c r="I93" i="30"/>
  <c r="J93" i="30"/>
  <c r="K93" i="30"/>
  <c r="L93" i="30"/>
  <c r="M93" i="30"/>
  <c r="N93" i="30"/>
  <c r="O93" i="30"/>
  <c r="P93" i="30"/>
  <c r="D94" i="30"/>
  <c r="E94" i="30"/>
  <c r="F94" i="30"/>
  <c r="G94" i="30"/>
  <c r="H94" i="30"/>
  <c r="I94" i="30"/>
  <c r="J94" i="30"/>
  <c r="K94" i="30"/>
  <c r="L94" i="30"/>
  <c r="M94" i="30"/>
  <c r="N94" i="30"/>
  <c r="O94" i="30"/>
  <c r="P94" i="30"/>
  <c r="D95" i="30"/>
  <c r="E95" i="30"/>
  <c r="F95" i="30"/>
  <c r="G95" i="30"/>
  <c r="H95" i="30"/>
  <c r="I95" i="30"/>
  <c r="J95" i="30"/>
  <c r="K95" i="30"/>
  <c r="L95" i="30"/>
  <c r="M95" i="30"/>
  <c r="N95" i="30"/>
  <c r="O95" i="30"/>
  <c r="P95" i="30"/>
  <c r="D96" i="30"/>
  <c r="E96" i="30"/>
  <c r="F96" i="30"/>
  <c r="G96" i="30"/>
  <c r="H96" i="30"/>
  <c r="I96" i="30"/>
  <c r="J96" i="30"/>
  <c r="K96" i="30"/>
  <c r="L96" i="30"/>
  <c r="M96" i="30"/>
  <c r="N96" i="30"/>
  <c r="O96" i="30"/>
  <c r="P96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D53" i="30"/>
  <c r="F213" i="22" l="1"/>
  <c r="F155" i="22"/>
  <c r="G97" i="22"/>
  <c r="F97" i="22"/>
  <c r="G232" i="22"/>
  <c r="F232" i="22"/>
  <c r="G213" i="22"/>
  <c r="G174" i="22"/>
  <c r="F174" i="22"/>
  <c r="G155" i="22"/>
  <c r="G116" i="22"/>
  <c r="F116" i="22"/>
  <c r="G58" i="22"/>
  <c r="F58" i="22"/>
  <c r="G42" i="22"/>
  <c r="F42" i="22"/>
  <c r="D24" i="28"/>
  <c r="D25" i="28"/>
  <c r="D28" i="28"/>
  <c r="H5" i="23"/>
  <c r="L14" i="27"/>
  <c r="C35" i="29"/>
  <c r="D27" i="28"/>
  <c r="C17" i="23"/>
  <c r="L18" i="27"/>
  <c r="C41" i="29"/>
  <c r="L19" i="27"/>
  <c r="L28" i="27"/>
  <c r="E18" i="23"/>
  <c r="C38" i="29"/>
  <c r="F13" i="23"/>
  <c r="C34" i="29"/>
  <c r="D17" i="23"/>
  <c r="D12" i="23"/>
  <c r="C42" i="29"/>
  <c r="L17" i="27"/>
  <c r="C36" i="29"/>
  <c r="F18" i="23"/>
  <c r="B17" i="23"/>
  <c r="I5" i="26"/>
  <c r="L26" i="27"/>
  <c r="C37" i="29"/>
  <c r="G13" i="23"/>
  <c r="D26" i="28"/>
  <c r="C39" i="29"/>
  <c r="L27" i="27"/>
  <c r="L25" i="27"/>
  <c r="L15" i="27"/>
  <c r="L23" i="27"/>
  <c r="K4" i="26" l="1"/>
  <c r="K5" i="26"/>
  <c r="W33" i="24"/>
  <c r="W32" i="24"/>
  <c r="W34" i="24"/>
  <c r="W35" i="24"/>
  <c r="W36" i="24"/>
  <c r="B33" i="29"/>
  <c r="W37" i="24" s="1"/>
  <c r="B34" i="29"/>
  <c r="W38" i="24" s="1"/>
  <c r="B35" i="29"/>
  <c r="W39" i="24" s="1"/>
  <c r="B36" i="29"/>
  <c r="W40" i="24" s="1"/>
  <c r="B37" i="29"/>
  <c r="W41" i="24" s="1"/>
  <c r="B38" i="29"/>
  <c r="W42" i="24" s="1"/>
  <c r="B39" i="29"/>
  <c r="W43" i="24" s="1"/>
  <c r="B40" i="29"/>
  <c r="W44" i="24" s="1"/>
  <c r="B41" i="29"/>
  <c r="W45" i="24" s="1"/>
  <c r="B42" i="29"/>
  <c r="W46" i="24" s="1"/>
  <c r="C28" i="28"/>
  <c r="C23" i="28"/>
  <c r="C25" i="28"/>
  <c r="C20" i="28"/>
  <c r="C24" i="28"/>
  <c r="C26" i="28"/>
  <c r="C27" i="28"/>
  <c r="K15" i="27"/>
  <c r="K19" i="27"/>
  <c r="K26" i="27"/>
  <c r="K23" i="27"/>
  <c r="K28" i="27"/>
  <c r="K17" i="27"/>
  <c r="K24" i="27"/>
  <c r="K27" i="27"/>
  <c r="K14" i="27"/>
  <c r="K18" i="27"/>
  <c r="K25" i="27"/>
  <c r="L9" i="27"/>
  <c r="K7" i="27" s="1"/>
  <c r="C29" i="28" l="1"/>
  <c r="B17" i="28" s="1"/>
  <c r="K6" i="27"/>
  <c r="K8" i="27"/>
  <c r="B24" i="28" l="1"/>
  <c r="B20" i="28"/>
  <c r="B27" i="28"/>
  <c r="B23" i="28"/>
  <c r="B25" i="28"/>
  <c r="B28" i="28"/>
  <c r="B26" i="28"/>
</calcChain>
</file>

<file path=xl/sharedStrings.xml><?xml version="1.0" encoding="utf-8"?>
<sst xmlns="http://schemas.openxmlformats.org/spreadsheetml/2006/main" count="1143" uniqueCount="217">
  <si>
    <t>год</t>
  </si>
  <si>
    <t>налоги</t>
  </si>
  <si>
    <t>НДФЛ</t>
  </si>
  <si>
    <t>неналоги</t>
  </si>
  <si>
    <t>Названия строк</t>
  </si>
  <si>
    <t>Общий итог</t>
  </si>
  <si>
    <t>Названия столбцов</t>
  </si>
  <si>
    <t>РзПр</t>
  </si>
  <si>
    <t>наименование</t>
  </si>
  <si>
    <t>группа</t>
  </si>
  <si>
    <t>план</t>
  </si>
  <si>
    <t>факт</t>
  </si>
  <si>
    <t>вид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</si>
  <si>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</si>
  <si>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</si>
  <si>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</si>
  <si>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</si>
  <si>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</si>
  <si>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</si>
  <si>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</si>
  <si>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</si>
  <si>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Налог на имущество организаций</t>
  </si>
  <si>
    <t>Земельный налог</t>
  </si>
  <si>
    <t>Земельный налог с организаций</t>
  </si>
  <si>
    <t>Земельный налог с физических лиц</t>
  </si>
  <si>
    <t>Налог на добычу полезных ископаемых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</si>
  <si>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</si>
  <si>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</si>
  <si>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</si>
  <si>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</si>
  <si>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</si>
  <si>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</si>
  <si>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</si>
  <si>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тыс.руб.</t>
  </si>
  <si>
    <t>МБТ</t>
  </si>
  <si>
    <t>доход</t>
  </si>
  <si>
    <t>ЗАДОЛЖЕННОСТЬ И ПЕРЕРАСЧЕТЫ ПО ОТМЕНЕННЫМ НАЛОГАМ, СБОРАМ И ИНЫМ ОБЯЗАТЕЛЬНЫМ ПЛАТЕЖАМ</t>
  </si>
  <si>
    <t>НАЛОГОВЫЕ ДОХОДЫ</t>
  </si>
  <si>
    <t>НЕНАЛОГОВЫЕ ДОХОДЫ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</si>
  <si>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</si>
  <si>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</si>
  <si>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</si>
  <si>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</si>
  <si>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</si>
  <si>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</si>
  <si>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</si>
  <si>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РАСХОДЫ ВСЕГО</t>
  </si>
  <si>
    <t>Другое (ОХРАНА ОКРУЖАЮЩЕЙ СРЕДЫ, СМИ, НАЦ.БЕЗ)</t>
  </si>
  <si>
    <t>МП</t>
  </si>
  <si>
    <t>Поддержка малого и среднего предпринимательства в городском округе город Кумертау Республики Башкортостан</t>
  </si>
  <si>
    <t>Управление муниципальными финансами городского округа город Кумертау Республики Башкортостан</t>
  </si>
  <si>
    <t>Развитие архивного дела в городском округе город Кумертау Республики Башкортостан</t>
  </si>
  <si>
    <t>Снижение рисков и смягчение последствий чрезвычайных ситуаций природного и техногенного характера в городском округе город Кумертау Республики Башкортостан</t>
  </si>
  <si>
    <t>Развитие улично-дорожной сети городского округа город Кумертау Республики Башкортостан</t>
  </si>
  <si>
    <t>Обеспечение общественной безопасности в городском округе город Кумертау Республики Башкортостан</t>
  </si>
  <si>
    <t>Реализация государственной национальной политики в городском округе город Кумертау Республики Башкортостан</t>
  </si>
  <si>
    <t>Развитие системы общего и дополнительного образования</t>
  </si>
  <si>
    <t>Развитие молодежной политики в городском округе город Кумертау Республики Башкортостан</t>
  </si>
  <si>
    <t>Развитие культуры городского округа город Кумертау Республики Башкортостан</t>
  </si>
  <si>
    <t>Формирование современной городской среды на территории городского округа город Кумертау Республики Башкортостан</t>
  </si>
  <si>
    <t>Развитие физической культуры и спорта в городском округе город Кумертау Республики Башкортостан</t>
  </si>
  <si>
    <t>Модернизация и реформирование жилищно-коммунального хозяйства городского округа город Кумертау Республики Башкортостан</t>
  </si>
  <si>
    <t>Пподдержка молодых семей городского округа город Кумертау Республики Башкортостан, нуждающихся в улучшении жилищных условий</t>
  </si>
  <si>
    <t>Обеспечение жильем детей 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 в городском округе город Кумертау Республики Башкортостан</t>
  </si>
  <si>
    <t>Развитие муниципальной службы в городском округе город Кумертау Республики Башкортостан</t>
  </si>
  <si>
    <t>Адресная программа городского округа город Кумертау Республики Башкортостан по переселению граждан из аварийного жилищного фонда</t>
  </si>
  <si>
    <t>Непрограммные расходы</t>
  </si>
  <si>
    <t>расход</t>
  </si>
  <si>
    <t>Сумма по полю факт</t>
  </si>
  <si>
    <t>показатель д1</t>
  </si>
  <si>
    <t>показатель д2</t>
  </si>
  <si>
    <t>показатель р1</t>
  </si>
  <si>
    <t>показатель д3</t>
  </si>
  <si>
    <t>Налоговые д.</t>
  </si>
  <si>
    <t>Неналоговые д.</t>
  </si>
  <si>
    <t>показатель р2</t>
  </si>
  <si>
    <t>показатель р3</t>
  </si>
  <si>
    <t>непрогр</t>
  </si>
  <si>
    <t>прогр</t>
  </si>
  <si>
    <t>Программные р.</t>
  </si>
  <si>
    <t>Непрограммные р.</t>
  </si>
  <si>
    <t>ЧИСЛЕННОСТЬ</t>
  </si>
  <si>
    <t>население</t>
  </si>
  <si>
    <t>люди</t>
  </si>
  <si>
    <t>Сумма по полю план</t>
  </si>
  <si>
    <t>Общий график</t>
  </si>
  <si>
    <t>Акцизы</t>
  </si>
  <si>
    <t>Имущественные налоги</t>
  </si>
  <si>
    <t>Госпошлина</t>
  </si>
  <si>
    <t>Налоговые доходы</t>
  </si>
  <si>
    <t>Неналоговые доходы</t>
  </si>
  <si>
    <t>Аренда имущества</t>
  </si>
  <si>
    <t>Продажа имущества</t>
  </si>
  <si>
    <t>Пользование природными ресурсами</t>
  </si>
  <si>
    <t>Штрафы, санкции</t>
  </si>
  <si>
    <t>Безвозмездные поступления</t>
  </si>
  <si>
    <t>Общегосударсвтенные вопросы</t>
  </si>
  <si>
    <t>Национальная экономика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</si>
  <si>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</si>
  <si>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</si>
  <si>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</si>
  <si>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</si>
  <si>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Программа по устройству дополнительного мягкого покрытия на благоустроенных дворовых территориях по подпрограмме "Башкирские дворики"</t>
  </si>
  <si>
    <t>Адресная программа  по переселению граждан из аварийного жилищного фонда</t>
  </si>
  <si>
    <t xml:space="preserve">Модернизация и реформирование жилищно-коммунального хозяйства </t>
  </si>
  <si>
    <t>Пподдержка молодых семей , нуждающихся в улучшении жилищных условий</t>
  </si>
  <si>
    <t xml:space="preserve">Развитие культуры </t>
  </si>
  <si>
    <t xml:space="preserve">Развитие улично-дорожной сети </t>
  </si>
  <si>
    <t xml:space="preserve">Обеспечение жильем детей 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 </t>
  </si>
  <si>
    <t xml:space="preserve">Обеспечение общественной безопасности </t>
  </si>
  <si>
    <t xml:space="preserve">Поддержка малого и среднего предпринимательства </t>
  </si>
  <si>
    <t xml:space="preserve">Развитие архивного дела </t>
  </si>
  <si>
    <t xml:space="preserve">Развитие молодежной политики </t>
  </si>
  <si>
    <t xml:space="preserve">Развитие муниципальной службы </t>
  </si>
  <si>
    <t xml:space="preserve">Развитие физической культуры и спорта </t>
  </si>
  <si>
    <t xml:space="preserve">Реализация государственной национальной политики </t>
  </si>
  <si>
    <t xml:space="preserve">Снижение рисков и смягчение последствий чрезвычайных ситуаций природного и техногенного характера </t>
  </si>
  <si>
    <t>Наименование муниципальной программы</t>
  </si>
  <si>
    <t>Расход, млн.руб.</t>
  </si>
  <si>
    <t>МУНИЦИПАЛЬНАЯ ПРОГРАММА</t>
  </si>
  <si>
    <t>МЛН.Р.</t>
  </si>
  <si>
    <t>Жилищно-коммунальное хозяйство</t>
  </si>
  <si>
    <t>Компенсация затрат государства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</si>
  <si>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</si>
  <si>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</si>
  <si>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</si>
  <si>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</si>
  <si>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</si>
  <si>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</si>
  <si>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</si>
  <si>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</si>
  <si>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</si>
  <si>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</si>
  <si>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</si>
  <si>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</si>
  <si>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Аренда муниципального имущества</t>
  </si>
  <si>
    <t>Продажа муниципального имущества</t>
  </si>
  <si>
    <t>БЕЗВОЗМЕЗДНЫЕ ПОСТУПЛЕНИЯ</t>
  </si>
  <si>
    <t>нач план</t>
  </si>
  <si>
    <t>ут план</t>
  </si>
  <si>
    <t>УСН</t>
  </si>
  <si>
    <t>ЕНВД</t>
  </si>
  <si>
    <t>ЕСХН</t>
  </si>
  <si>
    <t>Патент</t>
  </si>
  <si>
    <t>Налог на имущество физ. и юр. лиц</t>
  </si>
  <si>
    <t>Всего доходов</t>
  </si>
  <si>
    <t>Всего доходов*</t>
  </si>
  <si>
    <t>всего</t>
  </si>
  <si>
    <t>ндфл</t>
  </si>
  <si>
    <t>нсд</t>
  </si>
  <si>
    <t>имущ</t>
  </si>
  <si>
    <t>нал ненал</t>
  </si>
  <si>
    <t>Налоговые и неналоговые</t>
  </si>
  <si>
    <t>Значения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</si>
  <si>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</si>
  <si>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</si>
  <si>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</si>
  <si>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</si>
  <si>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</si>
  <si>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</si>
  <si>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</si>
  <si>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 xml:space="preserve">август </t>
  </si>
  <si>
    <t xml:space="preserve">сентябрь </t>
  </si>
  <si>
    <t xml:space="preserve">октябрь </t>
  </si>
  <si>
    <t xml:space="preserve">ноябрь </t>
  </si>
  <si>
    <t xml:space="preserve">декабрь </t>
  </si>
  <si>
    <t xml:space="preserve">НДФЛ </t>
  </si>
  <si>
    <t>Аренда и продажа мун.имущества</t>
  </si>
  <si>
    <t>Налоги на совокупный доход</t>
  </si>
  <si>
    <t>ИТОГО</t>
  </si>
  <si>
    <t>Сумма по полю ИТОГО</t>
  </si>
  <si>
    <t>Сумма по полю ут план</t>
  </si>
  <si>
    <t>Налог на имущество</t>
  </si>
  <si>
    <t>Аренда</t>
  </si>
  <si>
    <t>Продажа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</si>
  <si>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</si>
  <si>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</si>
  <si>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</si>
  <si>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</si>
  <si>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</si>
  <si>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</si>
  <si>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</si>
  <si>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</si>
  <si>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</si>
  <si>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</si>
  <si>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</si>
  <si>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</si>
  <si>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Доходы бюджета,
всего</t>
  </si>
  <si>
    <t>Налоговые и неналоговые доходы</t>
  </si>
  <si>
    <t>Налоги, сборы и регулярные платежи за пользование природными ресурсами</t>
  </si>
  <si>
    <t>Налог на доходы физических лиц</t>
  </si>
  <si>
    <t>Прочие неналоговые доходы</t>
  </si>
  <si>
    <t>Развитие образования</t>
  </si>
  <si>
    <t>Охрана здоровья и формирование здорового образа жизни населения</t>
  </si>
  <si>
    <t>Социальная активность и поддержка населения</t>
  </si>
  <si>
    <t xml:space="preserve">Создание условий для устойчивого экономического развития </t>
  </si>
  <si>
    <t>Обеспечение безопасности на территории муниципального образования</t>
  </si>
  <si>
    <t>Муниципальное хозяйство</t>
  </si>
  <si>
    <t>Энергосбережение и повышение энергетической эффективности</t>
  </si>
  <si>
    <t>Муниципальное управление</t>
  </si>
  <si>
    <t>Другое</t>
  </si>
  <si>
    <t>Охрана окружающей среды муниципального образования</t>
  </si>
  <si>
    <t xml:space="preserve">Профилактика правонарушения и безнадзорности </t>
  </si>
  <si>
    <t>Противодействие коррупции</t>
  </si>
  <si>
    <t>Комплексные меры противодействия злоупотреблению наркотиками и их незаконному обороту</t>
  </si>
  <si>
    <t>Профилактика природно-очаговых инфекций</t>
  </si>
  <si>
    <t>Формирование комфортной городской среды на территории муниципального образования</t>
  </si>
  <si>
    <t>ОБЩЕГОСУДАРСТВЕННЫЕ ВОПРОСЫ1</t>
  </si>
  <si>
    <t>Общегосударсвтенные вопросы1</t>
  </si>
  <si>
    <t>обес без</t>
  </si>
  <si>
    <t>ОБЩЕГОСУДАРСТВЕННЫЕ ВОПРОСЫ2</t>
  </si>
  <si>
    <t>Общегосударсвтенные вопросы2</t>
  </si>
  <si>
    <t>Национальная экономика1</t>
  </si>
  <si>
    <t>НАЦИОНАЛЬНАЯ ЭКОНОМИКА1</t>
  </si>
  <si>
    <t>Национальная экономика2</t>
  </si>
  <si>
    <t xml:space="preserve">Управление муниципальными финансами </t>
  </si>
  <si>
    <t xml:space="preserve">Формирование современной городской среды на территории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</si>
</sst>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"/>
    <numFmt numFmtId="166" formatCode="0.0"/>
    <numFmt numFmtId="167" formatCode="_-* #,##0.0\ _₽_-;\-* #,##0.0\ _₽_-;_-* &quot;-&quot;??\ _₽_-;_-@_-"/>
    <numFmt numFmtId="168" formatCode="#,##0.0_ ;[Red]\-#,##0.0\ "/>
    <numFmt numFmtId="169" formatCode="#,##0.00000_ ;[Red]\-#,##0.000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8" tint="-0.499984740745262"/>
      <name val="Calibri"/>
      <family val="2"/>
      <charset val="204"/>
      <scheme val="minor"/>
    </font>
    <font>
      <sz val="12"/>
      <color theme="8" tint="-0.499984740745262"/>
      <name val="Calibri"/>
      <family val="2"/>
      <charset val="204"/>
      <scheme val="minor"/>
    </font>
    <font>
      <b/>
      <sz val="8"/>
      <color theme="8" tint="-0.499984740745262"/>
      <name val="Arial"/>
      <family val="2"/>
      <charset val="204"/>
    </font>
    <font>
      <sz val="11"/>
      <color theme="8" tint="-0.499984740745262"/>
      <name val="Calibri"/>
      <family val="2"/>
      <scheme val="minor"/>
    </font>
    <font>
      <sz val="8"/>
      <color theme="8" tint="-0.499984740745262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26"/>
      <name val="Times New Roman"/>
      <family val="1"/>
      <charset val="204"/>
    </font>
    <font>
      <sz val="8"/>
      <color rgb="FF000000"/>
      <name val="Arial"/>
    </font>
    <font>
      <sz val="8"/>
      <color rgb="FFFF0000"/>
      <name val="Arial"/>
      <family val="2"/>
      <charset val="204"/>
    </font>
    <font>
      <b/>
      <sz val="20"/>
      <name val="Times New Roman"/>
      <family val="1"/>
      <charset val="204"/>
    </font>
    <font>
      <b/>
      <sz val="24"/>
      <color rgb="FF002060"/>
      <name val="Times New Roman"/>
      <family val="1"/>
      <charset val="204"/>
    </font>
    <font>
      <sz val="24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24" fillId="0" borderId="0"/>
  </cellStyleXfs>
  <cellXfs count="20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Fill="1"/>
    <xf numFmtId="0" fontId="2" fillId="4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164" fontId="0" fillId="0" borderId="0" xfId="0" applyNumberFormat="1" applyFill="1"/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right" vertical="center"/>
    </xf>
    <xf numFmtId="0" fontId="15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right" vertical="center"/>
    </xf>
    <xf numFmtId="0" fontId="13" fillId="0" borderId="0" xfId="0" applyFont="1" applyFill="1"/>
    <xf numFmtId="0" fontId="14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15" fillId="6" borderId="0" xfId="0" applyFont="1" applyFill="1"/>
    <xf numFmtId="0" fontId="13" fillId="6" borderId="0" xfId="0" applyFont="1" applyFill="1" applyAlignment="1">
      <alignment horizontal="center" vertical="center"/>
    </xf>
    <xf numFmtId="0" fontId="13" fillId="6" borderId="0" xfId="0" applyFont="1" applyFill="1"/>
    <xf numFmtId="164" fontId="16" fillId="0" borderId="1" xfId="0" applyNumberFormat="1" applyFont="1" applyBorder="1" applyAlignment="1">
      <alignment horizontal="right" vertical="center"/>
    </xf>
    <xf numFmtId="0" fontId="0" fillId="6" borderId="0" xfId="0" applyFill="1"/>
    <xf numFmtId="0" fontId="7" fillId="2" borderId="0" xfId="0" applyFont="1" applyFill="1" applyAlignment="1">
      <alignment horizontal="center" vertical="center"/>
    </xf>
    <xf numFmtId="0" fontId="0" fillId="2" borderId="0" xfId="0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17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right" vertical="center"/>
    </xf>
    <xf numFmtId="164" fontId="14" fillId="0" borderId="3" xfId="0" applyNumberFormat="1" applyFont="1" applyFill="1" applyBorder="1" applyAlignment="1">
      <alignment horizontal="right" vertical="center"/>
    </xf>
    <xf numFmtId="164" fontId="12" fillId="0" borderId="3" xfId="0" applyNumberFormat="1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0" fontId="0" fillId="0" borderId="1" xfId="0" applyBorder="1"/>
    <xf numFmtId="9" fontId="0" fillId="0" borderId="1" xfId="1" applyFont="1" applyBorder="1"/>
    <xf numFmtId="0" fontId="11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19" fillId="7" borderId="10" xfId="0" applyFont="1" applyFill="1" applyBorder="1"/>
    <xf numFmtId="165" fontId="0" fillId="0" borderId="0" xfId="0" applyNumberFormat="1"/>
    <xf numFmtId="3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20" fillId="0" borderId="1" xfId="0" applyFont="1" applyBorder="1" applyAlignment="1">
      <alignment horizontal="left"/>
    </xf>
    <xf numFmtId="0" fontId="20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21" fillId="0" borderId="1" xfId="0" applyNumberFormat="1" applyFont="1" applyBorder="1"/>
    <xf numFmtId="166" fontId="0" fillId="0" borderId="1" xfId="0" applyNumberFormat="1" applyBorder="1"/>
    <xf numFmtId="0" fontId="0" fillId="8" borderId="1" xfId="0" applyFill="1" applyBorder="1"/>
    <xf numFmtId="0" fontId="22" fillId="0" borderId="1" xfId="0" applyFont="1" applyBorder="1" applyAlignment="1">
      <alignment horizontal="left"/>
    </xf>
    <xf numFmtId="166" fontId="0" fillId="0" borderId="0" xfId="0" applyNumberFormat="1"/>
    <xf numFmtId="0" fontId="22" fillId="0" borderId="0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9" borderId="0" xfId="0" applyFill="1"/>
    <xf numFmtId="165" fontId="0" fillId="0" borderId="1" xfId="0" applyNumberFormat="1" applyBorder="1"/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9" fontId="0" fillId="0" borderId="1" xfId="1" applyFont="1" applyBorder="1" applyAlignment="1">
      <alignment horizontal="left"/>
    </xf>
    <xf numFmtId="3" fontId="0" fillId="0" borderId="1" xfId="0" applyNumberFormat="1" applyBorder="1"/>
    <xf numFmtId="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9" borderId="1" xfId="0" applyFill="1" applyBorder="1"/>
    <xf numFmtId="0" fontId="0" fillId="9" borderId="12" xfId="0" applyFill="1" applyBorder="1"/>
    <xf numFmtId="0" fontId="0" fillId="0" borderId="1" xfId="0" quotePrefix="1" applyBorder="1" applyAlignment="1">
      <alignment horizontal="left" vertical="top" wrapText="1"/>
    </xf>
    <xf numFmtId="0" fontId="0" fillId="9" borderId="1" xfId="0" quotePrefix="1" applyFill="1" applyBorder="1" applyAlignment="1">
      <alignment horizontal="left" vertical="top" wrapText="1"/>
    </xf>
    <xf numFmtId="0" fontId="0" fillId="0" borderId="12" xfId="0" quotePrefix="1" applyBorder="1" applyAlignment="1">
      <alignment horizontal="left" vertical="top" wrapText="1"/>
    </xf>
    <xf numFmtId="0" fontId="0" fillId="9" borderId="12" xfId="0" quotePrefix="1" applyFill="1" applyBorder="1" applyAlignment="1">
      <alignment horizontal="left" vertical="top" wrapText="1"/>
    </xf>
    <xf numFmtId="0" fontId="0" fillId="0" borderId="12" xfId="0" quotePrefix="1" applyFill="1" applyBorder="1" applyAlignment="1">
      <alignment horizontal="left" vertical="top" wrapText="1"/>
    </xf>
    <xf numFmtId="0" fontId="0" fillId="0" borderId="1" xfId="0" quotePrefix="1" applyFill="1" applyBorder="1" applyAlignment="1">
      <alignment horizontal="left" vertical="top" wrapText="1"/>
    </xf>
    <xf numFmtId="0" fontId="1" fillId="0" borderId="1" xfId="0" applyFont="1" applyFill="1" applyBorder="1"/>
    <xf numFmtId="0" fontId="0" fillId="0" borderId="1" xfId="0" applyFill="1" applyBorder="1"/>
    <xf numFmtId="4" fontId="0" fillId="0" borderId="12" xfId="0" applyNumberFormat="1" applyBorder="1"/>
    <xf numFmtId="4" fontId="0" fillId="0" borderId="1" xfId="0" applyNumberFormat="1" applyBorder="1"/>
    <xf numFmtId="4" fontId="0" fillId="9" borderId="12" xfId="0" applyNumberFormat="1" applyFill="1" applyBorder="1"/>
    <xf numFmtId="4" fontId="0" fillId="9" borderId="1" xfId="0" applyNumberFormat="1" applyFill="1" applyBorder="1"/>
    <xf numFmtId="4" fontId="1" fillId="0" borderId="1" xfId="0" applyNumberFormat="1" applyFont="1" applyFill="1" applyBorder="1"/>
    <xf numFmtId="0" fontId="0" fillId="0" borderId="15" xfId="0" applyBorder="1"/>
    <xf numFmtId="0" fontId="0" fillId="0" borderId="8" xfId="0" quotePrefix="1" applyBorder="1" applyAlignment="1">
      <alignment horizontal="left" vertical="top" wrapText="1"/>
    </xf>
    <xf numFmtId="0" fontId="0" fillId="0" borderId="8" xfId="0" applyBorder="1"/>
    <xf numFmtId="4" fontId="0" fillId="0" borderId="8" xfId="0" applyNumberFormat="1" applyBorder="1"/>
    <xf numFmtId="0" fontId="0" fillId="9" borderId="8" xfId="0" quotePrefix="1" applyFill="1" applyBorder="1" applyAlignment="1">
      <alignment horizontal="left" vertical="top" wrapText="1"/>
    </xf>
    <xf numFmtId="0" fontId="0" fillId="9" borderId="8" xfId="0" applyFill="1" applyBorder="1"/>
    <xf numFmtId="4" fontId="0" fillId="9" borderId="8" xfId="0" applyNumberFormat="1" applyFill="1" applyBorder="1"/>
    <xf numFmtId="0" fontId="0" fillId="0" borderId="8" xfId="0" quotePrefix="1" applyFill="1" applyBorder="1" applyAlignment="1">
      <alignment horizontal="left" vertical="top" wrapText="1"/>
    </xf>
    <xf numFmtId="0" fontId="0" fillId="0" borderId="8" xfId="0" applyFill="1" applyBorder="1"/>
    <xf numFmtId="4" fontId="0" fillId="0" borderId="8" xfId="0" applyNumberFormat="1" applyFill="1" applyBorder="1"/>
    <xf numFmtId="0" fontId="0" fillId="0" borderId="12" xfId="0" applyFill="1" applyBorder="1"/>
    <xf numFmtId="4" fontId="0" fillId="0" borderId="12" xfId="0" applyNumberFormat="1" applyFill="1" applyBorder="1"/>
    <xf numFmtId="0" fontId="2" fillId="4" borderId="16" xfId="0" applyFont="1" applyFill="1" applyBorder="1" applyAlignment="1">
      <alignment horizontal="center" vertical="center"/>
    </xf>
    <xf numFmtId="0" fontId="0" fillId="0" borderId="1" xfId="0" applyFont="1" applyBorder="1"/>
    <xf numFmtId="0" fontId="0" fillId="7" borderId="1" xfId="0" applyFont="1" applyFill="1" applyBorder="1"/>
    <xf numFmtId="0" fontId="0" fillId="9" borderId="1" xfId="0" applyFont="1" applyFill="1" applyBorder="1"/>
    <xf numFmtId="0" fontId="0" fillId="7" borderId="12" xfId="0" quotePrefix="1" applyFont="1" applyFill="1" applyBorder="1" applyAlignment="1">
      <alignment horizontal="left" vertical="top" wrapText="1"/>
    </xf>
    <xf numFmtId="0" fontId="0" fillId="0" borderId="1" xfId="0" quotePrefix="1" applyFont="1" applyBorder="1" applyAlignment="1">
      <alignment horizontal="left" vertical="top" wrapText="1"/>
    </xf>
    <xf numFmtId="0" fontId="0" fillId="7" borderId="1" xfId="0" quotePrefix="1" applyFont="1" applyFill="1" applyBorder="1" applyAlignment="1">
      <alignment horizontal="left" vertical="top" wrapText="1"/>
    </xf>
    <xf numFmtId="0" fontId="0" fillId="7" borderId="17" xfId="0" quotePrefix="1" applyFont="1" applyFill="1" applyBorder="1" applyAlignment="1">
      <alignment horizontal="left" vertical="top" wrapText="1"/>
    </xf>
    <xf numFmtId="0" fontId="0" fillId="9" borderId="12" xfId="0" quotePrefix="1" applyFont="1" applyFill="1" applyBorder="1" applyAlignment="1">
      <alignment horizontal="left" vertical="top" wrapText="1"/>
    </xf>
    <xf numFmtId="0" fontId="0" fillId="9" borderId="1" xfId="0" quotePrefix="1" applyFont="1" applyFill="1" applyBorder="1" applyAlignment="1">
      <alignment horizontal="left" vertical="top" wrapText="1"/>
    </xf>
    <xf numFmtId="0" fontId="0" fillId="9" borderId="17" xfId="0" quotePrefix="1" applyFont="1" applyFill="1" applyBorder="1" applyAlignment="1">
      <alignment horizontal="left" vertical="top" wrapText="1"/>
    </xf>
    <xf numFmtId="0" fontId="0" fillId="9" borderId="14" xfId="0" quotePrefix="1" applyFont="1" applyFill="1" applyBorder="1" applyAlignment="1">
      <alignment horizontal="left" vertical="top" wrapText="1"/>
    </xf>
    <xf numFmtId="0" fontId="0" fillId="0" borderId="18" xfId="0" applyBorder="1"/>
    <xf numFmtId="0" fontId="0" fillId="0" borderId="5" xfId="0" quotePrefix="1" applyBorder="1" applyAlignment="1">
      <alignment horizontal="left" vertical="top" wrapText="1"/>
    </xf>
    <xf numFmtId="0" fontId="0" fillId="0" borderId="5" xfId="0" applyBorder="1"/>
    <xf numFmtId="4" fontId="0" fillId="0" borderId="5" xfId="0" applyNumberFormat="1" applyBorder="1"/>
    <xf numFmtId="0" fontId="0" fillId="9" borderId="5" xfId="0" applyFill="1" applyBorder="1"/>
    <xf numFmtId="4" fontId="0" fillId="9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167" fontId="0" fillId="0" borderId="0" xfId="0" applyNumberFormat="1"/>
    <xf numFmtId="164" fontId="17" fillId="3" borderId="3" xfId="0" applyNumberFormat="1" applyFont="1" applyFill="1" applyBorder="1" applyAlignment="1">
      <alignment horizontal="right" vertical="center"/>
    </xf>
    <xf numFmtId="164" fontId="25" fillId="0" borderId="3" xfId="0" applyNumberFormat="1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right" vertical="center"/>
    </xf>
    <xf numFmtId="164" fontId="17" fillId="0" borderId="3" xfId="0" applyNumberFormat="1" applyFont="1" applyBorder="1" applyAlignment="1">
      <alignment horizontal="right" vertical="center"/>
    </xf>
    <xf numFmtId="164" fontId="25" fillId="0" borderId="3" xfId="0" applyNumberFormat="1" applyFont="1" applyBorder="1" applyAlignment="1">
      <alignment horizontal="right" vertical="center"/>
    </xf>
    <xf numFmtId="0" fontId="15" fillId="10" borderId="0" xfId="0" applyFont="1" applyFill="1"/>
    <xf numFmtId="0" fontId="0" fillId="9" borderId="0" xfId="0" applyFill="1" applyAlignment="1">
      <alignment horizontal="center"/>
    </xf>
    <xf numFmtId="0" fontId="23" fillId="0" borderId="0" xfId="0" applyFont="1" applyFill="1"/>
    <xf numFmtId="0" fontId="26" fillId="0" borderId="0" xfId="0" applyFont="1" applyFill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166" fontId="26" fillId="0" borderId="0" xfId="0" applyNumberFormat="1" applyFont="1" applyFill="1" applyBorder="1" applyAlignment="1">
      <alignment vertical="center"/>
    </xf>
    <xf numFmtId="0" fontId="26" fillId="0" borderId="0" xfId="0" applyNumberFormat="1" applyFont="1" applyFill="1" applyAlignment="1">
      <alignment vertical="top"/>
    </xf>
    <xf numFmtId="0" fontId="26" fillId="0" borderId="0" xfId="0" applyFont="1" applyFill="1" applyBorder="1" applyAlignment="1">
      <alignment vertical="top"/>
    </xf>
    <xf numFmtId="49" fontId="14" fillId="12" borderId="2" xfId="0" applyNumberFormat="1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left" vertical="center" wrapText="1"/>
    </xf>
    <xf numFmtId="164" fontId="14" fillId="12" borderId="1" xfId="0" applyNumberFormat="1" applyFont="1" applyFill="1" applyBorder="1" applyAlignment="1">
      <alignment horizontal="right" vertical="center"/>
    </xf>
    <xf numFmtId="164" fontId="17" fillId="12" borderId="3" xfId="0" applyNumberFormat="1" applyFont="1" applyFill="1" applyBorder="1" applyAlignment="1">
      <alignment horizontal="right" vertical="center"/>
    </xf>
    <xf numFmtId="0" fontId="0" fillId="12" borderId="0" xfId="0" applyFill="1"/>
    <xf numFmtId="49" fontId="3" fillId="12" borderId="2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0" fontId="11" fillId="12" borderId="1" xfId="0" applyFont="1" applyFill="1" applyBorder="1" applyAlignment="1">
      <alignment horizontal="left" vertical="center" wrapText="1"/>
    </xf>
    <xf numFmtId="164" fontId="27" fillId="12" borderId="1" xfId="0" applyNumberFormat="1" applyFont="1" applyFill="1" applyBorder="1" applyAlignment="1">
      <alignment horizontal="right" vertical="center"/>
    </xf>
    <xf numFmtId="164" fontId="27" fillId="12" borderId="3" xfId="0" applyNumberFormat="1" applyFont="1" applyFill="1" applyBorder="1" applyAlignment="1">
      <alignment horizontal="right" vertical="center"/>
    </xf>
    <xf numFmtId="164" fontId="28" fillId="0" borderId="8" xfId="0" applyNumberFormat="1" applyFont="1" applyFill="1" applyBorder="1" applyAlignment="1">
      <alignment horizontal="right" vertical="center"/>
    </xf>
    <xf numFmtId="168" fontId="17" fillId="3" borderId="3" xfId="0" applyNumberFormat="1" applyFont="1" applyFill="1" applyBorder="1" applyAlignment="1">
      <alignment horizontal="right" vertical="center"/>
    </xf>
    <xf numFmtId="164" fontId="28" fillId="0" borderId="3" xfId="0" applyNumberFormat="1" applyFont="1" applyFill="1" applyBorder="1" applyAlignment="1">
      <alignment horizontal="right" vertical="center"/>
    </xf>
    <xf numFmtId="164" fontId="28" fillId="0" borderId="1" xfId="0" applyNumberFormat="1" applyFont="1" applyFill="1" applyBorder="1" applyAlignment="1">
      <alignment horizontal="right" vertical="center"/>
    </xf>
    <xf numFmtId="0" fontId="32" fillId="0" borderId="0" xfId="0" applyFont="1" applyFill="1"/>
    <xf numFmtId="164" fontId="17" fillId="0" borderId="1" xfId="0" applyNumberFormat="1" applyFont="1" applyFill="1" applyBorder="1" applyAlignment="1">
      <alignment horizontal="right" vertical="center"/>
    </xf>
    <xf numFmtId="164" fontId="17" fillId="0" borderId="1" xfId="0" applyNumberFormat="1" applyFont="1" applyBorder="1" applyAlignment="1">
      <alignment horizontal="right" vertical="center"/>
    </xf>
    <xf numFmtId="164" fontId="16" fillId="12" borderId="1" xfId="0" applyNumberFormat="1" applyFont="1" applyFill="1" applyBorder="1" applyAlignment="1">
      <alignment horizontal="right" vertical="center"/>
    </xf>
    <xf numFmtId="164" fontId="28" fillId="0" borderId="9" xfId="0" applyNumberFormat="1" applyFont="1" applyFill="1" applyBorder="1" applyAlignment="1">
      <alignment horizontal="right" vertical="center"/>
    </xf>
    <xf numFmtId="169" fontId="17" fillId="12" borderId="3" xfId="0" applyNumberFormat="1" applyFont="1" applyFill="1" applyBorder="1" applyAlignment="1">
      <alignment horizontal="right" vertical="center"/>
    </xf>
    <xf numFmtId="0" fontId="6" fillId="12" borderId="1" xfId="0" applyFont="1" applyFill="1" applyBorder="1" applyAlignment="1">
      <alignment horizontal="center" vertical="center"/>
    </xf>
    <xf numFmtId="164" fontId="4" fillId="12" borderId="1" xfId="0" applyNumberFormat="1" applyFont="1" applyFill="1" applyBorder="1" applyAlignment="1">
      <alignment horizontal="right" vertical="center"/>
    </xf>
    <xf numFmtId="49" fontId="17" fillId="12" borderId="3" xfId="0" applyNumberFormat="1" applyFont="1" applyFill="1" applyBorder="1" applyAlignment="1">
      <alignment horizontal="right" vertical="center"/>
    </xf>
    <xf numFmtId="49" fontId="27" fillId="12" borderId="3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0" fontId="29" fillId="11" borderId="9" xfId="0" applyFont="1" applyFill="1" applyBorder="1" applyAlignment="1">
      <alignment horizontal="center" vertical="center"/>
    </xf>
    <xf numFmtId="167" fontId="30" fillId="0" borderId="20" xfId="0" applyNumberFormat="1" applyFont="1" applyFill="1" applyBorder="1" applyAlignment="1">
      <alignment horizontal="right" vertical="center"/>
    </xf>
    <xf numFmtId="167" fontId="30" fillId="0" borderId="6" xfId="0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horizontal="center"/>
    </xf>
    <xf numFmtId="0" fontId="0" fillId="9" borderId="0" xfId="0" applyFill="1" applyAlignment="1">
      <alignment horizontal="center"/>
    </xf>
    <xf numFmtId="0" fontId="29" fillId="11" borderId="19" xfId="0" applyFont="1" applyFill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center" wrapText="1"/>
    </xf>
    <xf numFmtId="0" fontId="31" fillId="0" borderId="22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0" fillId="9" borderId="0" xfId="0" applyNumberFormat="1" applyFill="1"/>
    <xf numFmtId="0" fontId="0" fillId="9" borderId="0" xfId="0" applyFill="1" applyAlignment="1">
      <alignment horizontal="left"/>
    </xf>
  </cellXfs>
  <cellStyles count="3">
    <cellStyle name="Обычный" xfId="0" builtinId="0"/>
    <cellStyle name="Обычный 2" xfId="2"/>
    <cellStyle name="Процентный" xfId="1" builtinId="5"/>
  </cellStyles>
  <dxfs count="115"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ont>
        <color theme="8" tint="-0.249977111117893"/>
      </font>
    </dxf>
    <dxf>
      <font>
        <color theme="9" tint="-0.249977111117893"/>
      </font>
    </dxf>
    <dxf>
      <font>
        <color theme="9" tint="-0.249977111117893"/>
      </font>
    </dxf>
    <dxf>
      <numFmt numFmtId="3" formatCode="#,##0"/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7" formatCode="_-* #,##0.0\ _₽_-;\-* #,##0.0\ _₽_-;_-* &quot;-&quot;??\ _₽_-;_-@_-"/>
    </dxf>
    <dxf>
      <numFmt numFmtId="167" formatCode="_-* #,##0.0\ _₽_-;\-* #,##0.0\ _₽_-;_-* &quot;-&quot;??\ _₽_-;_-@_-"/>
    </dxf>
    <dxf>
      <numFmt numFmtId="167" formatCode="_-* #,##0.0\ _₽_-;\-* #,##0.0\ _₽_-;_-* &quot;-&quot;??\ _₽_-;_-@_-"/>
    </dxf>
    <dxf>
      <numFmt numFmtId="167" formatCode="_-* #,##0.0\ _₽_-;\-* #,##0.0\ _₽_-;_-* &quot;-&quot;??\ _₽_-;_-@_-"/>
    </dxf>
    <dxf>
      <numFmt numFmtId="166" formatCode="0.0"/>
    </dxf>
    <dxf>
      <numFmt numFmtId="166" formatCode="0.0"/>
    </dxf>
    <dxf>
      <numFmt numFmtId="16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,##0.00_ ;[Red]\-#,##0.0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,##0.00_ ;[Red]\-#,##0.00\ 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ont>
        <color theme="9" tint="-0.249977111117893"/>
      </font>
    </dxf>
    <dxf>
      <font>
        <color theme="9" tint="-0.249977111117893"/>
      </font>
    </dxf>
    <dxf>
      <font>
        <color theme="8" tint="-0.249977111117893"/>
      </font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</dxfs>
  <tableStyles count="0" defaultTableStyle="TableStyleMedium2" defaultPivotStyle="PivotStyleLight16"/>
  <colors>
    <mruColors>
      <color rgb="FFCCCCFF"/>
      <color rgb="FFE5A1E7"/>
      <color rgb="FFFFC1C2"/>
      <color rgb="FFFF9FCF"/>
      <color rgb="FFFACACA"/>
      <color rgb="FF060345"/>
      <color rgb="FFE4A0B0"/>
      <color rgb="FF99FF99"/>
      <color rgb="FFC1FA8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'доход и расход'!$B$11</c:f>
              <c:strCache>
                <c:ptCount val="1"/>
                <c:pt idx="0">
                  <c:v>Налоговые д.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'доход и расход'!$A$12:$A$13</c:f>
              <c:strCache>
                <c:ptCount val="2"/>
                <c:pt idx="0">
                  <c:v>доход</c:v>
                </c:pt>
                <c:pt idx="1">
                  <c:v>расход</c:v>
                </c:pt>
              </c:strCache>
            </c:strRef>
          </c:cat>
          <c:val>
            <c:numRef>
              <c:f>'доход и расход'!$B$12:$B$13</c:f>
              <c:numCache>
                <c:formatCode>General</c:formatCode>
                <c:ptCount val="2"/>
                <c:pt idx="0">
                  <c:v>340158.2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B5-4431-BE75-6FE6A82D9CAD}"/>
            </c:ext>
          </c:extLst>
        </c:ser>
        <c:ser>
          <c:idx val="1"/>
          <c:order val="1"/>
          <c:tx>
            <c:strRef>
              <c:f>'доход и расход'!$C$11</c:f>
              <c:strCache>
                <c:ptCount val="1"/>
                <c:pt idx="0">
                  <c:v>Неналоговые д.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'доход и расход'!$A$12:$A$13</c:f>
              <c:strCache>
                <c:ptCount val="2"/>
                <c:pt idx="0">
                  <c:v>доход</c:v>
                </c:pt>
                <c:pt idx="1">
                  <c:v>расход</c:v>
                </c:pt>
              </c:strCache>
            </c:strRef>
          </c:cat>
          <c:val>
            <c:numRef>
              <c:f>'доход и расход'!$C$12:$C$13</c:f>
              <c:numCache>
                <c:formatCode>General</c:formatCode>
                <c:ptCount val="2"/>
                <c:pt idx="0">
                  <c:v>17049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B5-4431-BE75-6FE6A82D9CAD}"/>
            </c:ext>
          </c:extLst>
        </c:ser>
        <c:ser>
          <c:idx val="2"/>
          <c:order val="2"/>
          <c:tx>
            <c:strRef>
              <c:f>'доход и расход'!$D$11</c:f>
              <c:strCache>
                <c:ptCount val="1"/>
                <c:pt idx="0">
                  <c:v>МБТ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'доход и расход'!$A$12:$A$13</c:f>
              <c:strCache>
                <c:ptCount val="2"/>
                <c:pt idx="0">
                  <c:v>доход</c:v>
                </c:pt>
                <c:pt idx="1">
                  <c:v>расход</c:v>
                </c:pt>
              </c:strCache>
            </c:strRef>
          </c:cat>
          <c:val>
            <c:numRef>
              <c:f>'доход и расход'!$D$12:$D$13</c:f>
              <c:numCache>
                <c:formatCode>General</c:formatCode>
                <c:ptCount val="2"/>
                <c:pt idx="0">
                  <c:v>834433.5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B5-4431-BE75-6FE6A82D9CAD}"/>
            </c:ext>
          </c:extLst>
        </c:ser>
        <c:ser>
          <c:idx val="3"/>
          <c:order val="3"/>
          <c:tx>
            <c:strRef>
              <c:f>'доход и расход'!$E$11</c:f>
              <c:strCache>
                <c:ptCount val="1"/>
                <c:pt idx="0">
                  <c:v>Программные р.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'доход и расход'!$A$12:$A$13</c:f>
              <c:strCache>
                <c:ptCount val="2"/>
                <c:pt idx="0">
                  <c:v>доход</c:v>
                </c:pt>
                <c:pt idx="1">
                  <c:v>расход</c:v>
                </c:pt>
              </c:strCache>
            </c:strRef>
          </c:cat>
          <c:val>
            <c:numRef>
              <c:f>'доход и расход'!$E$12:$E$13</c:f>
              <c:numCache>
                <c:formatCode>General</c:formatCode>
                <c:ptCount val="2"/>
                <c:pt idx="1">
                  <c:v>1182508.8999999999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B5-4431-BE75-6FE6A82D9CAD}"/>
            </c:ext>
          </c:extLst>
        </c:ser>
        <c:ser>
          <c:idx val="4"/>
          <c:order val="4"/>
          <c:tx>
            <c:strRef>
              <c:f>'доход и расход'!$F$11</c:f>
              <c:strCache>
                <c:ptCount val="1"/>
                <c:pt idx="0">
                  <c:v>Непрограммные р.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'доход и расход'!$A$12:$A$13</c:f>
              <c:strCache>
                <c:ptCount val="2"/>
                <c:pt idx="0">
                  <c:v>доход</c:v>
                </c:pt>
                <c:pt idx="1">
                  <c:v>расход</c:v>
                </c:pt>
              </c:strCache>
            </c:strRef>
          </c:cat>
          <c:val>
            <c:numRef>
              <c:f>'доход и расход'!$F$12:$F$13</c:f>
              <c:numCache>
                <c:formatCode>General</c:formatCode>
                <c:ptCount val="2"/>
                <c:pt idx="1">
                  <c:v>9131.7999999999993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B5-4431-BE75-6FE6A82D9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150397696"/>
        <c:axId val="150399232"/>
      </c:barChart>
      <c:catAx>
        <c:axId val="150397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50399232"/>
        <c:crosses val="autoZero"/>
        <c:auto val="1"/>
        <c:lblAlgn val="ctr"/>
        <c:lblOffset val="100"/>
        <c:noMultiLvlLbl val="0"/>
      </c:catAx>
      <c:valAx>
        <c:axId val="150399232"/>
        <c:scaling>
          <c:orientation val="minMax"/>
          <c:max val="2100000"/>
          <c:min val="0"/>
        </c:scaling>
        <c:delete val="1"/>
        <c:axPos val="t"/>
        <c:numFmt formatCode="General" sourceLinked="1"/>
        <c:majorTickMark val="out"/>
        <c:minorTickMark val="none"/>
        <c:tickLblPos val="nextTo"/>
        <c:crossAx val="15039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/>
            </a:pPr>
            <a:r>
              <a:rPr lang="ru-RU" sz="3600"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муниципального долга</a:t>
            </a:r>
          </a:p>
        </c:rich>
      </c:tx>
      <c:layout>
        <c:manualLayout>
          <c:xMode val="edge"/>
          <c:yMode val="edge"/>
          <c:x val="0.124818767957078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1.2549018987851462E-2"/>
          <c:y val="0.10937018910989135"/>
          <c:w val="0.97239215822672675"/>
          <c:h val="0.80448136197671793"/>
        </c:manualLayout>
      </c:layout>
      <c:barChart>
        <c:barDir val="col"/>
        <c:grouping val="clustered"/>
        <c:varyColors val="0"/>
        <c:ser>
          <c:idx val="2"/>
          <c:order val="0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РзПр!$F$31</c:f>
              <c:numCache>
                <c:formatCode>General</c:formatCode>
                <c:ptCount val="1"/>
                <c:pt idx="0">
                  <c:v>95502.2</c:v>
                </c:pt>
              </c:numCache>
            </c:numRef>
          </c:val>
        </c:ser>
        <c:ser>
          <c:idx val="3"/>
          <c:order val="1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РзПр!$F$32</c:f>
              <c:numCache>
                <c:formatCode>General</c:formatCode>
                <c:ptCount val="1"/>
                <c:pt idx="0">
                  <c:v>50689.4</c:v>
                </c:pt>
              </c:numCache>
            </c:numRef>
          </c:val>
        </c:ser>
        <c:ser>
          <c:idx val="4"/>
          <c:order val="2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РзПр!$F$33</c:f>
              <c:numCache>
                <c:formatCode>General</c:formatCode>
                <c:ptCount val="1"/>
                <c:pt idx="0">
                  <c:v>48117.7</c:v>
                </c:pt>
              </c:numCache>
            </c:numRef>
          </c:val>
        </c:ser>
        <c:ser>
          <c:idx val="5"/>
          <c:order val="3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РзПр!$F$34</c:f>
              <c:numCache>
                <c:formatCode>General</c:formatCode>
                <c:ptCount val="1"/>
                <c:pt idx="0">
                  <c:v>63487.7</c:v>
                </c:pt>
              </c:numCache>
            </c:numRef>
          </c:val>
        </c:ser>
        <c:ser>
          <c:idx val="6"/>
          <c:order val="4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РзПр!$F$35</c:f>
              <c:numCache>
                <c:formatCode>General</c:formatCode>
                <c:ptCount val="1"/>
                <c:pt idx="0">
                  <c:v>61887.7</c:v>
                </c:pt>
              </c:numCache>
            </c:numRef>
          </c:val>
        </c:ser>
        <c:ser>
          <c:idx val="7"/>
          <c:order val="5"/>
          <c:invertIfNegative val="0"/>
          <c:dLbls>
            <c:dLbl>
              <c:idx val="0"/>
              <c:layout>
                <c:manualLayout>
                  <c:x val="5.2949948243411751E-3"/>
                  <c:y val="-2.4922118380062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РзПр!$F$36</c:f>
              <c:numCache>
                <c:formatCode>General</c:formatCode>
                <c:ptCount val="1"/>
                <c:pt idx="0">
                  <c:v>70587.7</c:v>
                </c:pt>
              </c:numCache>
            </c:numRef>
          </c:val>
        </c:ser>
        <c:ser>
          <c:idx val="8"/>
          <c:order val="6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РзПр!$F$37</c:f>
              <c:numCache>
                <c:formatCode>General</c:formatCode>
                <c:ptCount val="1"/>
                <c:pt idx="0">
                  <c:v>82587.7</c:v>
                </c:pt>
              </c:numCache>
            </c:numRef>
          </c:val>
        </c:ser>
        <c:ser>
          <c:idx val="1"/>
          <c:order val="7"/>
          <c:invertIfNegative val="0"/>
          <c:dLbls>
            <c:numFmt formatCode="#,##0.00" sourceLinked="0"/>
            <c:txPr>
              <a:bodyPr/>
              <a:lstStyle/>
              <a:p>
                <a:pPr>
                  <a:defRPr sz="18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РзПр!$F$21</c:f>
              <c:numCache>
                <c:formatCode>#,##0.0</c:formatCode>
                <c:ptCount val="1"/>
                <c:pt idx="0">
                  <c:v>114015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52786432"/>
        <c:axId val="152787968"/>
      </c:barChart>
      <c:catAx>
        <c:axId val="15278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52787968"/>
        <c:crosses val="autoZero"/>
        <c:auto val="1"/>
        <c:lblAlgn val="ctr"/>
        <c:lblOffset val="100"/>
        <c:noMultiLvlLbl val="0"/>
      </c:catAx>
      <c:valAx>
        <c:axId val="152787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2786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МПурга.xlsx]СТ нал_ненал!СТ НалНенал</c:name>
    <c:fmtId val="11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ln w="28575" cap="rnd">
            <a:solidFill>
              <a:schemeClr val="accent5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'СТ нал_ненал'!$B$3:$B$4</c:f>
              <c:strCache>
                <c:ptCount val="1"/>
                <c:pt idx="0">
                  <c:v>Имущественные налоги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'СТ нал_ненал'!$A$5:$A$16</c:f>
              <c:strCache>
                <c:ptCount val="12"/>
                <c:pt idx="0">
                  <c:v>январь </c:v>
                </c:pt>
                <c:pt idx="1">
                  <c:v>февраль </c:v>
                </c:pt>
                <c:pt idx="2">
                  <c:v>март </c:v>
                </c:pt>
                <c:pt idx="3">
                  <c:v>апрель </c:v>
                </c:pt>
                <c:pt idx="4">
                  <c:v>май </c:v>
                </c:pt>
                <c:pt idx="5">
                  <c:v>июнь </c:v>
                </c:pt>
                <c:pt idx="6">
                  <c:v>июль </c:v>
                </c:pt>
                <c:pt idx="7">
                  <c:v>август </c:v>
                </c:pt>
                <c:pt idx="8">
                  <c:v>сентябрь </c:v>
                </c:pt>
                <c:pt idx="9">
                  <c:v>октябрь </c:v>
                </c:pt>
                <c:pt idx="10">
                  <c:v>ноябрь </c:v>
                </c:pt>
                <c:pt idx="11">
                  <c:v>декабрь </c:v>
                </c:pt>
              </c:strCache>
            </c:strRef>
          </c:cat>
          <c:val>
            <c:numRef>
              <c:f>'СТ нал_ненал'!$B$5:$B$16</c:f>
              <c:numCache>
                <c:formatCode>0.0</c:formatCode>
                <c:ptCount val="12"/>
                <c:pt idx="0">
                  <c:v>11.16787167</c:v>
                </c:pt>
                <c:pt idx="1">
                  <c:v>2.0534969900000002</c:v>
                </c:pt>
                <c:pt idx="2">
                  <c:v>0.95854336999999923</c:v>
                </c:pt>
                <c:pt idx="3">
                  <c:v>8.7798824399999997</c:v>
                </c:pt>
                <c:pt idx="4">
                  <c:v>1.2747381099999995</c:v>
                </c:pt>
                <c:pt idx="5">
                  <c:v>0.56785062000000108</c:v>
                </c:pt>
                <c:pt idx="6">
                  <c:v>9.5307730000000035</c:v>
                </c:pt>
                <c:pt idx="7">
                  <c:v>0.8943951999999955</c:v>
                </c:pt>
                <c:pt idx="8">
                  <c:v>1.1697265200000033</c:v>
                </c:pt>
                <c:pt idx="9">
                  <c:v>11.687548949999996</c:v>
                </c:pt>
                <c:pt idx="10">
                  <c:v>9.72529836</c:v>
                </c:pt>
                <c:pt idx="11">
                  <c:v>6.956223920000002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10-4E32-9A0B-46FA6ABE43A5}"/>
            </c:ext>
          </c:extLst>
        </c:ser>
        <c:ser>
          <c:idx val="1"/>
          <c:order val="1"/>
          <c:tx>
            <c:strRef>
              <c:f>'СТ нал_ненал'!$C$3:$C$4</c:f>
              <c:strCache>
                <c:ptCount val="1"/>
                <c:pt idx="0">
                  <c:v>Всего доходов*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'СТ нал_ненал'!$A$5:$A$16</c:f>
              <c:strCache>
                <c:ptCount val="12"/>
                <c:pt idx="0">
                  <c:v>январь </c:v>
                </c:pt>
                <c:pt idx="1">
                  <c:v>февраль </c:v>
                </c:pt>
                <c:pt idx="2">
                  <c:v>март </c:v>
                </c:pt>
                <c:pt idx="3">
                  <c:v>апрель </c:v>
                </c:pt>
                <c:pt idx="4">
                  <c:v>май </c:v>
                </c:pt>
                <c:pt idx="5">
                  <c:v>июнь </c:v>
                </c:pt>
                <c:pt idx="6">
                  <c:v>июль </c:v>
                </c:pt>
                <c:pt idx="7">
                  <c:v>август </c:v>
                </c:pt>
                <c:pt idx="8">
                  <c:v>сентябрь </c:v>
                </c:pt>
                <c:pt idx="9">
                  <c:v>октябрь </c:v>
                </c:pt>
                <c:pt idx="10">
                  <c:v>ноябрь </c:v>
                </c:pt>
                <c:pt idx="11">
                  <c:v>декабрь </c:v>
                </c:pt>
              </c:strCache>
            </c:strRef>
          </c:cat>
          <c:val>
            <c:numRef>
              <c:f>'СТ нал_ненал'!$C$5:$C$16</c:f>
              <c:numCache>
                <c:formatCode>0.0</c:formatCode>
                <c:ptCount val="12"/>
                <c:pt idx="0">
                  <c:v>41.447455600000012</c:v>
                </c:pt>
                <c:pt idx="1">
                  <c:v>32.994732290000002</c:v>
                </c:pt>
                <c:pt idx="2">
                  <c:v>34.960667090000008</c:v>
                </c:pt>
                <c:pt idx="3">
                  <c:v>39.741006019999986</c:v>
                </c:pt>
                <c:pt idx="4">
                  <c:v>22.098887930000018</c:v>
                </c:pt>
                <c:pt idx="5">
                  <c:v>30.156218980000027</c:v>
                </c:pt>
                <c:pt idx="6">
                  <c:v>47.905076190000003</c:v>
                </c:pt>
                <c:pt idx="7">
                  <c:v>30.846285449999939</c:v>
                </c:pt>
                <c:pt idx="8">
                  <c:v>34.354272919999971</c:v>
                </c:pt>
                <c:pt idx="9">
                  <c:v>54.290234550000065</c:v>
                </c:pt>
                <c:pt idx="10">
                  <c:v>41.057574850000137</c:v>
                </c:pt>
                <c:pt idx="11">
                  <c:v>60.555875039999734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10-4E32-9A0B-46FA6ABE43A5}"/>
            </c:ext>
          </c:extLst>
        </c:ser>
        <c:ser>
          <c:idx val="2"/>
          <c:order val="2"/>
          <c:tx>
            <c:strRef>
              <c:f>'СТ нал_ненал'!$D$3:$D$4</c:f>
              <c:strCache>
                <c:ptCount val="1"/>
                <c:pt idx="0">
                  <c:v>НДФЛ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'СТ нал_ненал'!$A$5:$A$16</c:f>
              <c:strCache>
                <c:ptCount val="12"/>
                <c:pt idx="0">
                  <c:v>январь </c:v>
                </c:pt>
                <c:pt idx="1">
                  <c:v>февраль </c:v>
                </c:pt>
                <c:pt idx="2">
                  <c:v>март </c:v>
                </c:pt>
                <c:pt idx="3">
                  <c:v>апрель </c:v>
                </c:pt>
                <c:pt idx="4">
                  <c:v>май </c:v>
                </c:pt>
                <c:pt idx="5">
                  <c:v>июнь </c:v>
                </c:pt>
                <c:pt idx="6">
                  <c:v>июль </c:v>
                </c:pt>
                <c:pt idx="7">
                  <c:v>август </c:v>
                </c:pt>
                <c:pt idx="8">
                  <c:v>сентябрь </c:v>
                </c:pt>
                <c:pt idx="9">
                  <c:v>октябрь </c:v>
                </c:pt>
                <c:pt idx="10">
                  <c:v>ноябрь </c:v>
                </c:pt>
                <c:pt idx="11">
                  <c:v>декабрь </c:v>
                </c:pt>
              </c:strCache>
            </c:strRef>
          </c:cat>
          <c:val>
            <c:numRef>
              <c:f>'СТ нал_ненал'!$D$5:$D$16</c:f>
              <c:numCache>
                <c:formatCode>0.0</c:formatCode>
                <c:ptCount val="12"/>
                <c:pt idx="0">
                  <c:v>15.574180119999999</c:v>
                </c:pt>
                <c:pt idx="1">
                  <c:v>23.611851970000007</c:v>
                </c:pt>
                <c:pt idx="2">
                  <c:v>22.329753659999998</c:v>
                </c:pt>
                <c:pt idx="3">
                  <c:v>16.781248609999999</c:v>
                </c:pt>
                <c:pt idx="4">
                  <c:v>14.414470010000006</c:v>
                </c:pt>
                <c:pt idx="5">
                  <c:v>21.852066519999997</c:v>
                </c:pt>
                <c:pt idx="6">
                  <c:v>23.594129779999985</c:v>
                </c:pt>
                <c:pt idx="7">
                  <c:v>22.206769770000012</c:v>
                </c:pt>
                <c:pt idx="8">
                  <c:v>22.506284999999998</c:v>
                </c:pt>
                <c:pt idx="9">
                  <c:v>23.897058770000012</c:v>
                </c:pt>
                <c:pt idx="10">
                  <c:v>24.343005799999982</c:v>
                </c:pt>
                <c:pt idx="11">
                  <c:v>41.071586050000015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10-4E32-9A0B-46FA6ABE43A5}"/>
            </c:ext>
          </c:extLst>
        </c:ser>
        <c:ser>
          <c:idx val="3"/>
          <c:order val="3"/>
          <c:tx>
            <c:strRef>
              <c:f>'СТ нал_ненал'!$E$3:$E$4</c:f>
              <c:strCache>
                <c:ptCount val="1"/>
                <c:pt idx="0">
                  <c:v>Аренда и продажа мун.имущества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'СТ нал_ненал'!$A$5:$A$16</c:f>
              <c:strCache>
                <c:ptCount val="12"/>
                <c:pt idx="0">
                  <c:v>январь </c:v>
                </c:pt>
                <c:pt idx="1">
                  <c:v>февраль </c:v>
                </c:pt>
                <c:pt idx="2">
                  <c:v>март </c:v>
                </c:pt>
                <c:pt idx="3">
                  <c:v>апрель </c:v>
                </c:pt>
                <c:pt idx="4">
                  <c:v>май </c:v>
                </c:pt>
                <c:pt idx="5">
                  <c:v>июнь </c:v>
                </c:pt>
                <c:pt idx="6">
                  <c:v>июль </c:v>
                </c:pt>
                <c:pt idx="7">
                  <c:v>август </c:v>
                </c:pt>
                <c:pt idx="8">
                  <c:v>сентябрь </c:v>
                </c:pt>
                <c:pt idx="9">
                  <c:v>октябрь </c:v>
                </c:pt>
                <c:pt idx="10">
                  <c:v>ноябрь </c:v>
                </c:pt>
                <c:pt idx="11">
                  <c:v>декабрь </c:v>
                </c:pt>
              </c:strCache>
            </c:strRef>
          </c:cat>
          <c:val>
            <c:numRef>
              <c:f>'СТ нал_ненал'!$E$5:$E$16</c:f>
              <c:numCache>
                <c:formatCode>0.0</c:formatCode>
                <c:ptCount val="12"/>
                <c:pt idx="0">
                  <c:v>6.9518741399999993</c:v>
                </c:pt>
                <c:pt idx="1">
                  <c:v>3.09971978</c:v>
                </c:pt>
                <c:pt idx="2">
                  <c:v>4.8620432199999994</c:v>
                </c:pt>
                <c:pt idx="3">
                  <c:v>5.857109920000001</c:v>
                </c:pt>
                <c:pt idx="4">
                  <c:v>2.4426504899999992</c:v>
                </c:pt>
                <c:pt idx="5">
                  <c:v>5.0801311900000004</c:v>
                </c:pt>
                <c:pt idx="6">
                  <c:v>6.8852260899999997</c:v>
                </c:pt>
                <c:pt idx="7">
                  <c:v>3.5750501699999981</c:v>
                </c:pt>
                <c:pt idx="8">
                  <c:v>5.6874049700000029</c:v>
                </c:pt>
                <c:pt idx="9">
                  <c:v>8.8930719599999986</c:v>
                </c:pt>
                <c:pt idx="10">
                  <c:v>2.8657436700000019</c:v>
                </c:pt>
                <c:pt idx="11">
                  <c:v>7.6880346800000003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10-4E32-9A0B-46FA6ABE43A5}"/>
            </c:ext>
          </c:extLst>
        </c:ser>
        <c:ser>
          <c:idx val="4"/>
          <c:order val="4"/>
          <c:tx>
            <c:strRef>
              <c:f>'СТ нал_ненал'!$F$3:$F$4</c:f>
              <c:strCache>
                <c:ptCount val="1"/>
                <c:pt idx="0">
                  <c:v>Налоги на совокупный доход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'СТ нал_ненал'!$A$5:$A$16</c:f>
              <c:strCache>
                <c:ptCount val="12"/>
                <c:pt idx="0">
                  <c:v>январь </c:v>
                </c:pt>
                <c:pt idx="1">
                  <c:v>февраль </c:v>
                </c:pt>
                <c:pt idx="2">
                  <c:v>март </c:v>
                </c:pt>
                <c:pt idx="3">
                  <c:v>апрель </c:v>
                </c:pt>
                <c:pt idx="4">
                  <c:v>май </c:v>
                </c:pt>
                <c:pt idx="5">
                  <c:v>июнь </c:v>
                </c:pt>
                <c:pt idx="6">
                  <c:v>июль </c:v>
                </c:pt>
                <c:pt idx="7">
                  <c:v>август </c:v>
                </c:pt>
                <c:pt idx="8">
                  <c:v>сентябрь </c:v>
                </c:pt>
                <c:pt idx="9">
                  <c:v>октябрь </c:v>
                </c:pt>
                <c:pt idx="10">
                  <c:v>ноябрь </c:v>
                </c:pt>
                <c:pt idx="11">
                  <c:v>декабрь </c:v>
                </c:pt>
              </c:strCache>
            </c:strRef>
          </c:cat>
          <c:val>
            <c:numRef>
              <c:f>'СТ нал_ненал'!$F$5:$F$16</c:f>
              <c:numCache>
                <c:formatCode>0.0</c:formatCode>
                <c:ptCount val="12"/>
                <c:pt idx="0">
                  <c:v>6.3352310300000001</c:v>
                </c:pt>
                <c:pt idx="1">
                  <c:v>2.4584155300000008</c:v>
                </c:pt>
                <c:pt idx="2">
                  <c:v>4.8404826799999991</c:v>
                </c:pt>
                <c:pt idx="3">
                  <c:v>6.8587171400000004</c:v>
                </c:pt>
                <c:pt idx="4">
                  <c:v>2.7256592599999996</c:v>
                </c:pt>
                <c:pt idx="5">
                  <c:v>1.3452744000000005</c:v>
                </c:pt>
                <c:pt idx="6">
                  <c:v>6.0503745899999997</c:v>
                </c:pt>
                <c:pt idx="7">
                  <c:v>2.2742129800000002</c:v>
                </c:pt>
                <c:pt idx="8">
                  <c:v>3.0679467299999983</c:v>
                </c:pt>
                <c:pt idx="9">
                  <c:v>8.200650910000002</c:v>
                </c:pt>
                <c:pt idx="10">
                  <c:v>2.4198818499999994</c:v>
                </c:pt>
                <c:pt idx="11">
                  <c:v>3.1765862799999987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10-4E32-9A0B-46FA6ABE4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88768"/>
        <c:axId val="153090304"/>
      </c:lineChart>
      <c:catAx>
        <c:axId val="15308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90304"/>
        <c:crosses val="autoZero"/>
        <c:auto val="1"/>
        <c:lblAlgn val="ctr"/>
        <c:lblOffset val="100"/>
        <c:noMultiLvlLbl val="0"/>
      </c:catAx>
      <c:valAx>
        <c:axId val="15309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8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МПурга.xlsx]НСД!СТ_совокупных доход</c:name>
    <c:fmtId val="1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НСД!$B$3</c:f>
              <c:strCache>
                <c:ptCount val="1"/>
                <c:pt idx="0">
                  <c:v>Сумма по полю ИТОГО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НСД!$A$4:$A$8</c:f>
              <c:strCache>
                <c:ptCount val="4"/>
                <c:pt idx="0">
                  <c:v>ЕНВД</c:v>
                </c:pt>
                <c:pt idx="1">
                  <c:v>ЕСХН</c:v>
                </c:pt>
                <c:pt idx="2">
                  <c:v>Патент</c:v>
                </c:pt>
                <c:pt idx="3">
                  <c:v>УСН</c:v>
                </c:pt>
              </c:strCache>
            </c:strRef>
          </c:cat>
          <c:val>
            <c:numRef>
              <c:f>НСД!$B$4:$B$8</c:f>
              <c:numCache>
                <c:formatCode>0.0</c:formatCode>
                <c:ptCount val="4"/>
                <c:pt idx="0">
                  <c:v>13.52965781</c:v>
                </c:pt>
                <c:pt idx="1">
                  <c:v>0.29858605999999999</c:v>
                </c:pt>
                <c:pt idx="2">
                  <c:v>1.5626610000000001</c:v>
                </c:pt>
                <c:pt idx="3">
                  <c:v>34.362528510000004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F7-4C6C-9470-CFB2A970D3FD}"/>
            </c:ext>
          </c:extLst>
        </c:ser>
        <c:ser>
          <c:idx val="1"/>
          <c:order val="1"/>
          <c:tx>
            <c:strRef>
              <c:f>НСД!$C$3</c:f>
              <c:strCache>
                <c:ptCount val="1"/>
                <c:pt idx="0">
                  <c:v>Сумма по полю ут план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НСД!$A$4:$A$8</c:f>
              <c:strCache>
                <c:ptCount val="4"/>
                <c:pt idx="0">
                  <c:v>ЕНВД</c:v>
                </c:pt>
                <c:pt idx="1">
                  <c:v>ЕСХН</c:v>
                </c:pt>
                <c:pt idx="2">
                  <c:v>Патент</c:v>
                </c:pt>
                <c:pt idx="3">
                  <c:v>УСН</c:v>
                </c:pt>
              </c:strCache>
            </c:strRef>
          </c:cat>
          <c:val>
            <c:numRef>
              <c:f>НСД!$C$4:$C$8</c:f>
              <c:numCache>
                <c:formatCode>0.0</c:formatCode>
                <c:ptCount val="4"/>
                <c:pt idx="0">
                  <c:v>13.5</c:v>
                </c:pt>
                <c:pt idx="1">
                  <c:v>0.125</c:v>
                </c:pt>
                <c:pt idx="2">
                  <c:v>1.65</c:v>
                </c:pt>
                <c:pt idx="3">
                  <c:v>31.38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F7-4C6C-9470-CFB2A970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787008"/>
        <c:axId val="151788544"/>
      </c:barChart>
      <c:catAx>
        <c:axId val="1517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1788544"/>
        <c:crosses val="autoZero"/>
        <c:auto val="1"/>
        <c:lblAlgn val="ctr"/>
        <c:lblOffset val="100"/>
        <c:noMultiLvlLbl val="0"/>
      </c:catAx>
      <c:valAx>
        <c:axId val="1517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17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МПурга.xlsx]Имущество!СТ_имущество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Имущество!$B$3:$B$4</c:f>
              <c:strCache>
                <c:ptCount val="1"/>
                <c:pt idx="0">
                  <c:v>Земельный налог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Имущество!$A$5:$A$16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Имущество!$B$5:$B$16</c:f>
              <c:numCache>
                <c:formatCode>0.0</c:formatCode>
                <c:ptCount val="12"/>
                <c:pt idx="0">
                  <c:v>10.26354319</c:v>
                </c:pt>
                <c:pt idx="1">
                  <c:v>2.1285270400000011</c:v>
                </c:pt>
                <c:pt idx="2">
                  <c:v>0.37687432000000032</c:v>
                </c:pt>
                <c:pt idx="3">
                  <c:v>7.9997260199999998</c:v>
                </c:pt>
                <c:pt idx="4">
                  <c:v>1.0309688000000008</c:v>
                </c:pt>
                <c:pt idx="5">
                  <c:v>0.40290723999999833</c:v>
                </c:pt>
                <c:pt idx="6">
                  <c:v>8.6104571099999987</c:v>
                </c:pt>
                <c:pt idx="7">
                  <c:v>0.53069808000000196</c:v>
                </c:pt>
                <c:pt idx="8">
                  <c:v>0.40242099999999997</c:v>
                </c:pt>
                <c:pt idx="9">
                  <c:v>7.7132699400000018</c:v>
                </c:pt>
                <c:pt idx="10">
                  <c:v>1.8722538799999953</c:v>
                </c:pt>
                <c:pt idx="11">
                  <c:v>2.009972690000005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A0-4936-A107-AA39452BBB12}"/>
            </c:ext>
          </c:extLst>
        </c:ser>
        <c:ser>
          <c:idx val="1"/>
          <c:order val="1"/>
          <c:tx>
            <c:strRef>
              <c:f>Имущество!$C$3:$C$4</c:f>
              <c:strCache>
                <c:ptCount val="1"/>
                <c:pt idx="0">
                  <c:v>Налог на имущество физ. и юр. лиц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Имущество!$A$5:$A$16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Имущество!$C$5:$C$16</c:f>
              <c:numCache>
                <c:formatCode>0.0</c:formatCode>
                <c:ptCount val="12"/>
                <c:pt idx="0">
                  <c:v>0.90432848000000043</c:v>
                </c:pt>
                <c:pt idx="1">
                  <c:v>-7.503005000000075E-2</c:v>
                </c:pt>
                <c:pt idx="2">
                  <c:v>0.58166904999999891</c:v>
                </c:pt>
                <c:pt idx="3">
                  <c:v>0.78015641999999996</c:v>
                </c:pt>
                <c:pt idx="4">
                  <c:v>0.24376930999999866</c:v>
                </c:pt>
                <c:pt idx="5">
                  <c:v>0.16494338000000269</c:v>
                </c:pt>
                <c:pt idx="6">
                  <c:v>0.92031589000000436</c:v>
                </c:pt>
                <c:pt idx="7">
                  <c:v>0.3636971199999936</c:v>
                </c:pt>
                <c:pt idx="8">
                  <c:v>0.76730552000000329</c:v>
                </c:pt>
                <c:pt idx="9">
                  <c:v>3.9742790099999943</c:v>
                </c:pt>
                <c:pt idx="10">
                  <c:v>7.8530444800000039</c:v>
                </c:pt>
                <c:pt idx="11">
                  <c:v>4.946251229999997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BA0-4936-A107-AA39452BB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08736"/>
        <c:axId val="151910272"/>
      </c:lineChart>
      <c:catAx>
        <c:axId val="1519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1910272"/>
        <c:crosses val="autoZero"/>
        <c:auto val="1"/>
        <c:lblAlgn val="ctr"/>
        <c:lblOffset val="100"/>
        <c:noMultiLvlLbl val="0"/>
      </c:catAx>
      <c:valAx>
        <c:axId val="151910272"/>
        <c:scaling>
          <c:orientation val="minMax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190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МПурга.xlsx]Имущество 2!Сводная таблица6</c:name>
    <c:fmtId val="1"/>
  </c:pivotSource>
  <c:chart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'Имущество 2'!$B$3</c:f>
              <c:strCache>
                <c:ptCount val="1"/>
                <c:pt idx="0">
                  <c:v>Сумма по полю ИТОГО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'Имущество 2'!$A$4:$A$6</c:f>
              <c:strCache>
                <c:ptCount val="2"/>
                <c:pt idx="0">
                  <c:v>Земельный налог</c:v>
                </c:pt>
                <c:pt idx="1">
                  <c:v>Налог на имущество</c:v>
                </c:pt>
              </c:strCache>
            </c:strRef>
          </c:cat>
          <c:val>
            <c:numRef>
              <c:f>'Имущество 2'!$B$4:$B$6</c:f>
              <c:numCache>
                <c:formatCode>_-* #,##0.0\ _₽_-;\-* #,##0.0\ _₽_-;_-* "-"??\ _₽_-;_-@_-</c:formatCode>
                <c:ptCount val="2"/>
                <c:pt idx="0">
                  <c:v>43.341619309999999</c:v>
                </c:pt>
                <c:pt idx="1">
                  <c:v>21.424729839999998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6E-42A9-9BE7-695CD09E7611}"/>
            </c:ext>
          </c:extLst>
        </c:ser>
        <c:ser>
          <c:idx val="1"/>
          <c:order val="1"/>
          <c:tx>
            <c:strRef>
              <c:f>'Имущество 2'!$C$3</c:f>
              <c:strCache>
                <c:ptCount val="1"/>
                <c:pt idx="0">
                  <c:v>Сумма по полю ут план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'Имущество 2'!$A$4:$A$6</c:f>
              <c:strCache>
                <c:ptCount val="2"/>
                <c:pt idx="0">
                  <c:v>Земельный налог</c:v>
                </c:pt>
                <c:pt idx="1">
                  <c:v>Налог на имущество</c:v>
                </c:pt>
              </c:strCache>
            </c:strRef>
          </c:cat>
          <c:val>
            <c:numRef>
              <c:f>'Имущество 2'!$C$4:$C$6</c:f>
              <c:numCache>
                <c:formatCode>_-* #,##0.0\ _₽_-;\-* #,##0.0\ _₽_-;_-* "-"??\ _₽_-;_-@_-</c:formatCode>
                <c:ptCount val="2"/>
                <c:pt idx="0">
                  <c:v>40.5</c:v>
                </c:pt>
                <c:pt idx="1">
                  <c:v>19.55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96E-42A9-9BE7-695CD09E7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228032"/>
        <c:axId val="153229568"/>
      </c:barChart>
      <c:catAx>
        <c:axId val="1532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229568"/>
        <c:crosses val="autoZero"/>
        <c:auto val="1"/>
        <c:lblAlgn val="ctr"/>
        <c:lblOffset val="100"/>
        <c:noMultiLvlLbl val="0"/>
      </c:catAx>
      <c:valAx>
        <c:axId val="15322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₽_-;\-* #,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22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МПурга.xlsx]Неналог!СТ_неналоги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Неналог!$B$3</c:f>
              <c:strCache>
                <c:ptCount val="1"/>
                <c:pt idx="0">
                  <c:v>Сумма по полю ИТОГО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Неналог!$A$4:$A$6</c:f>
              <c:strCache>
                <c:ptCount val="2"/>
                <c:pt idx="0">
                  <c:v>Аренда</c:v>
                </c:pt>
                <c:pt idx="1">
                  <c:v>Продажа</c:v>
                </c:pt>
              </c:strCache>
            </c:strRef>
          </c:cat>
          <c:val>
            <c:numRef>
              <c:f>Неналог!$B$4:$B$6</c:f>
              <c:numCache>
                <c:formatCode>_-* #,##0.0\ _₽_-;\-* #,##0.0\ _₽_-;_-* "-"??\ _₽_-;_-@_-</c:formatCode>
                <c:ptCount val="2"/>
                <c:pt idx="0">
                  <c:v>42.442191499999993</c:v>
                </c:pt>
                <c:pt idx="1">
                  <c:v>21.445868780000001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6B-4F87-9450-16021EF27BDC}"/>
            </c:ext>
          </c:extLst>
        </c:ser>
        <c:ser>
          <c:idx val="1"/>
          <c:order val="1"/>
          <c:tx>
            <c:strRef>
              <c:f>Неналог!$C$3</c:f>
              <c:strCache>
                <c:ptCount val="1"/>
                <c:pt idx="0">
                  <c:v>Сумма по полю ут план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Неналог!$A$4:$A$6</c:f>
              <c:strCache>
                <c:ptCount val="2"/>
                <c:pt idx="0">
                  <c:v>Аренда</c:v>
                </c:pt>
                <c:pt idx="1">
                  <c:v>Продажа</c:v>
                </c:pt>
              </c:strCache>
            </c:strRef>
          </c:cat>
          <c:val>
            <c:numRef>
              <c:f>Неналог!$C$4:$C$6</c:f>
              <c:numCache>
                <c:formatCode>_-* #,##0.0\ _₽_-;\-* #,##0.0\ _₽_-;_-* "-"??\ _₽_-;_-@_-</c:formatCode>
                <c:ptCount val="2"/>
                <c:pt idx="0">
                  <c:v>41.4</c:v>
                </c:pt>
                <c:pt idx="1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6B-4F87-9450-16021EF27B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463808"/>
        <c:axId val="153477888"/>
      </c:barChart>
      <c:catAx>
        <c:axId val="15346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77888"/>
        <c:crosses val="autoZero"/>
        <c:auto val="1"/>
        <c:lblAlgn val="ctr"/>
        <c:lblOffset val="100"/>
        <c:noMultiLvlLbl val="0"/>
      </c:catAx>
      <c:valAx>
        <c:axId val="15347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₽_-;\-* #,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46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МПурга.xlsx]Неналог 2!Сводная таблица8</c:name>
    <c:fmtId val="3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'Неналог 2'!$B$3:$B$4</c:f>
              <c:strCache>
                <c:ptCount val="1"/>
                <c:pt idx="0">
                  <c:v>Аренда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'Неналог 2'!$A$5:$A$16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'Неналог 2'!$B$5:$B$16</c:f>
              <c:numCache>
                <c:formatCode>_-* #,##0.0\ _₽_-;\-* #,##0.0\ _₽_-;_-* "-"??\ _₽_-;_-@_-</c:formatCode>
                <c:ptCount val="12"/>
                <c:pt idx="0">
                  <c:v>5.3102859699999998</c:v>
                </c:pt>
                <c:pt idx="1">
                  <c:v>1.5603545300000004</c:v>
                </c:pt>
                <c:pt idx="2">
                  <c:v>4.6704238399999998</c:v>
                </c:pt>
                <c:pt idx="3">
                  <c:v>3.7237581400000006</c:v>
                </c:pt>
                <c:pt idx="4">
                  <c:v>1.2605517899999992</c:v>
                </c:pt>
                <c:pt idx="5">
                  <c:v>3.0279246200000012</c:v>
                </c:pt>
                <c:pt idx="6">
                  <c:v>4.2553342699999996</c:v>
                </c:pt>
                <c:pt idx="7">
                  <c:v>1.6284654699999987</c:v>
                </c:pt>
                <c:pt idx="8">
                  <c:v>4.2647671900000015</c:v>
                </c:pt>
                <c:pt idx="9">
                  <c:v>6.5986370000000001</c:v>
                </c:pt>
                <c:pt idx="10">
                  <c:v>1.8340025</c:v>
                </c:pt>
                <c:pt idx="11">
                  <c:v>4.3076861800000001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24-4F80-9F14-30FC8736FC6B}"/>
            </c:ext>
          </c:extLst>
        </c:ser>
        <c:ser>
          <c:idx val="1"/>
          <c:order val="1"/>
          <c:tx>
            <c:strRef>
              <c:f>'Неналог 2'!$C$3:$C$4</c:f>
              <c:strCache>
                <c:ptCount val="1"/>
                <c:pt idx="0">
                  <c:v>Продажа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'Неналог 2'!$A$5:$A$16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'Неналог 2'!$C$5:$C$16</c:f>
              <c:numCache>
                <c:formatCode>_-* #,##0.0\ _₽_-;\-* #,##0.0\ _₽_-;_-* "-"??\ _₽_-;_-@_-</c:formatCode>
                <c:ptCount val="12"/>
                <c:pt idx="0">
                  <c:v>1.6415881699999999</c:v>
                </c:pt>
                <c:pt idx="1">
                  <c:v>1.5393652499999999</c:v>
                </c:pt>
                <c:pt idx="2">
                  <c:v>0.19161937999999989</c:v>
                </c:pt>
                <c:pt idx="3">
                  <c:v>2.1333517800000004</c:v>
                </c:pt>
                <c:pt idx="4">
                  <c:v>1.1820987000000003</c:v>
                </c:pt>
                <c:pt idx="5">
                  <c:v>2.0522065699999992</c:v>
                </c:pt>
                <c:pt idx="6">
                  <c:v>2.6298918200000001</c:v>
                </c:pt>
                <c:pt idx="7">
                  <c:v>1.9465846999999992</c:v>
                </c:pt>
                <c:pt idx="8">
                  <c:v>1.4226377800000012</c:v>
                </c:pt>
                <c:pt idx="9">
                  <c:v>2.2944349599999989</c:v>
                </c:pt>
                <c:pt idx="10">
                  <c:v>1.0317411700000019</c:v>
                </c:pt>
                <c:pt idx="11">
                  <c:v>3.3803485000000002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4-4F80-9F14-30FC8736F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89824"/>
        <c:axId val="154191360"/>
      </c:lineChart>
      <c:catAx>
        <c:axId val="15418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191360"/>
        <c:crosses val="autoZero"/>
        <c:auto val="1"/>
        <c:lblAlgn val="ctr"/>
        <c:lblOffset val="100"/>
        <c:noMultiLvlLbl val="0"/>
      </c:catAx>
      <c:valAx>
        <c:axId val="15419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\ _₽_-;\-* #,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18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МПурга.xlsx]Всего!Сводная таблица1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Всего!$B$3</c:f>
              <c:strCache>
                <c:ptCount val="1"/>
                <c:pt idx="0">
                  <c:v>Сумма по полю ИТОГО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Всего!$A$4:$A$7</c:f>
              <c:strCache>
                <c:ptCount val="3"/>
                <c:pt idx="0">
                  <c:v>Доходы бюджета,
всего</c:v>
                </c:pt>
                <c:pt idx="1">
                  <c:v>Безвозмездные поступления</c:v>
                </c:pt>
                <c:pt idx="2">
                  <c:v>Налоговые и неналоговые доходы</c:v>
                </c:pt>
              </c:strCache>
            </c:strRef>
          </c:cat>
          <c:val>
            <c:numRef>
              <c:f>Всего!$B$4:$B$7</c:f>
              <c:numCache>
                <c:formatCode>General</c:formatCode>
                <c:ptCount val="3"/>
                <c:pt idx="0">
                  <c:v>1564.97893987</c:v>
                </c:pt>
                <c:pt idx="1">
                  <c:v>1094.57065296</c:v>
                </c:pt>
                <c:pt idx="2">
                  <c:v>470.4082869099999</c:v>
                </c:pt>
              </c:numCache>
            </c:numRef>
          </c:val>
        </c:ser>
        <c:ser>
          <c:idx val="1"/>
          <c:order val="1"/>
          <c:tx>
            <c:strRef>
              <c:f>Всего!$C$3</c:f>
              <c:strCache>
                <c:ptCount val="1"/>
                <c:pt idx="0">
                  <c:v>Сумма по полю ут план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Всего!$A$4:$A$7</c:f>
              <c:strCache>
                <c:ptCount val="3"/>
                <c:pt idx="0">
                  <c:v>Доходы бюджета,
всего</c:v>
                </c:pt>
                <c:pt idx="1">
                  <c:v>Безвозмездные поступления</c:v>
                </c:pt>
                <c:pt idx="2">
                  <c:v>Налоговые и неналоговые доходы</c:v>
                </c:pt>
              </c:strCache>
            </c:strRef>
          </c:cat>
          <c:val>
            <c:numRef>
              <c:f>Всего!$C$4:$C$7</c:f>
              <c:numCache>
                <c:formatCode>General</c:formatCode>
                <c:ptCount val="3"/>
                <c:pt idx="0">
                  <c:v>1545.19071874</c:v>
                </c:pt>
                <c:pt idx="1">
                  <c:v>1104.5149487399999</c:v>
                </c:pt>
                <c:pt idx="2">
                  <c:v>440.67577000000006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30464"/>
        <c:axId val="153887872"/>
      </c:barChart>
      <c:catAx>
        <c:axId val="15083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887872"/>
        <c:crosses val="autoZero"/>
        <c:auto val="1"/>
        <c:lblAlgn val="ctr"/>
        <c:lblOffset val="100"/>
        <c:noMultiLvlLbl val="0"/>
      </c:catAx>
      <c:valAx>
        <c:axId val="15388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83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47-4BC2-8BF8-14349B87A212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47-4BC2-8BF8-14349B87A212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47-4BC2-8BF8-14349B87A21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D47-4BC2-8BF8-14349B87A212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D47-4BC2-8BF8-14349B87A212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D47-4BC2-8BF8-14349B87A212}"/>
              </c:ext>
            </c:extLst>
          </c:dPt>
          <c:cat>
            <c:strRef>
              <c:f>доходы!$J$14:$J$19</c:f>
              <c:strCache>
                <c:ptCount val="6"/>
                <c:pt idx="0">
                  <c:v>Акцизы</c:v>
                </c:pt>
                <c:pt idx="1">
                  <c:v>Госпошлина</c:v>
                </c:pt>
                <c:pt idx="2">
                  <c:v>Налог на добычу полезных ископаемых</c:v>
                </c:pt>
                <c:pt idx="3">
                  <c:v>Имущественные налоги</c:v>
                </c:pt>
                <c:pt idx="4">
                  <c:v>Налог на доходы физических лиц</c:v>
                </c:pt>
                <c:pt idx="5">
                  <c:v>НДФЛ</c:v>
                </c:pt>
              </c:strCache>
            </c:strRef>
          </c:cat>
          <c:val>
            <c:numRef>
              <c:f>доходы!$K$14:$K$19</c:f>
              <c:numCache>
                <c:formatCode>0.0</c:formatCode>
                <c:ptCount val="6"/>
                <c:pt idx="0">
                  <c:v>40.337199999999996</c:v>
                </c:pt>
                <c:pt idx="1">
                  <c:v>2.52</c:v>
                </c:pt>
                <c:pt idx="2">
                  <c:v>1E-3</c:v>
                </c:pt>
                <c:pt idx="3">
                  <c:v>29.9</c:v>
                </c:pt>
                <c:pt idx="4">
                  <c:v>11.4</c:v>
                </c:pt>
                <c:pt idx="5">
                  <c:v>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EF-4DB6-9076-C5BEB1A9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66403278495019"/>
          <c:y val="0.15898758266216431"/>
          <c:w val="0.42418159375116793"/>
          <c:h val="0.692622728578691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888-428D-9026-040A312017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888-428D-9026-040A312017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888-428D-9026-040A312017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888-428D-9026-040A312017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888-428D-9026-040A312017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888-428D-9026-040A31201760}"/>
              </c:ext>
            </c:extLst>
          </c:dPt>
          <c:cat>
            <c:strRef>
              <c:f>доходы!$J$23:$J$28</c:f>
              <c:strCache>
                <c:ptCount val="6"/>
                <c:pt idx="0">
                  <c:v>Аренда имущества</c:v>
                </c:pt>
                <c:pt idx="1">
                  <c:v>Компенсация затрат государства</c:v>
                </c:pt>
                <c:pt idx="2">
                  <c:v>Продажа имущества</c:v>
                </c:pt>
                <c:pt idx="3">
                  <c:v>Пользование природными ресурсами</c:v>
                </c:pt>
                <c:pt idx="4">
                  <c:v>Штрафы, санкции</c:v>
                </c:pt>
                <c:pt idx="5">
                  <c:v>Прочие неналоговые доходы</c:v>
                </c:pt>
              </c:strCache>
            </c:strRef>
          </c:cat>
          <c:val>
            <c:numRef>
              <c:f>доходы!$K$23:$K$28</c:f>
              <c:numCache>
                <c:formatCode>0.0</c:formatCode>
                <c:ptCount val="6"/>
                <c:pt idx="0">
                  <c:v>8.0559999999999992</c:v>
                </c:pt>
                <c:pt idx="1">
                  <c:v>0.114</c:v>
                </c:pt>
                <c:pt idx="2">
                  <c:v>7</c:v>
                </c:pt>
                <c:pt idx="3">
                  <c:v>0.27900000000000003</c:v>
                </c:pt>
                <c:pt idx="4">
                  <c:v>1.6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67-487C-A1B0-DD644351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70358349965929"/>
          <c:y val="0.44039297171186936"/>
          <c:w val="0.18200393209078036"/>
          <c:h val="0.46701443569553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255073676982714E-2"/>
          <c:y val="5.0925925925925923E-2"/>
          <c:w val="0.72140555465951872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РзПр!$A$17</c:f>
              <c:strCache>
                <c:ptCount val="1"/>
                <c:pt idx="0">
                  <c:v>Общегосударсвтенные вопросы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РзПр!$B$17</c:f>
              <c:numCache>
                <c:formatCode>0%</c:formatCode>
                <c:ptCount val="1"/>
                <c:pt idx="0">
                  <c:v>0.10461886707964908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97-4CB7-92EF-A64EBF9716D3}"/>
            </c:ext>
          </c:extLst>
        </c:ser>
        <c:ser>
          <c:idx val="1"/>
          <c:order val="1"/>
          <c:tx>
            <c:strRef>
              <c:f>РзПр!$A$20</c:f>
              <c:strCache>
                <c:ptCount val="1"/>
                <c:pt idx="0">
                  <c:v>Национальная экономика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РзПр!$B$20</c:f>
              <c:numCache>
                <c:formatCode>0%</c:formatCode>
                <c:ptCount val="1"/>
                <c:pt idx="0">
                  <c:v>9.2675082346549573E-2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97-4CB7-92EF-A64EBF9716D3}"/>
            </c:ext>
          </c:extLst>
        </c:ser>
        <c:ser>
          <c:idx val="2"/>
          <c:order val="2"/>
          <c:tx>
            <c:strRef>
              <c:f>РзПр!$A$23</c:f>
              <c:strCache>
                <c:ptCount val="1"/>
                <c:pt idx="0">
                  <c:v>Жилищно-коммунальное хозяйство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РзПр!$B$23</c:f>
              <c:numCache>
                <c:formatCode>0%</c:formatCode>
                <c:ptCount val="1"/>
                <c:pt idx="0">
                  <c:v>1.4687900472013082E-2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97-4CB7-92EF-A64EBF9716D3}"/>
            </c:ext>
          </c:extLst>
        </c:ser>
        <c:ser>
          <c:idx val="3"/>
          <c:order val="3"/>
          <c:tx>
            <c:strRef>
              <c:f>РзПр!$A$24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РзПр!$B$24</c:f>
              <c:numCache>
                <c:formatCode>0%</c:formatCode>
                <c:ptCount val="1"/>
                <c:pt idx="0">
                  <c:v>0.66964622809543162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97-4CB7-92EF-A64EBF9716D3}"/>
            </c:ext>
          </c:extLst>
        </c:ser>
        <c:ser>
          <c:idx val="4"/>
          <c:order val="4"/>
          <c:tx>
            <c:strRef>
              <c:f>РзПр!$A$25</c:f>
              <c:strCache>
                <c:ptCount val="1"/>
                <c:pt idx="0">
                  <c:v>Культура, кинематография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РзПр!$B$25</c:f>
              <c:numCache>
                <c:formatCode>0%</c:formatCode>
                <c:ptCount val="1"/>
                <c:pt idx="0">
                  <c:v>6.8820156948315031E-2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97-4CB7-92EF-A64EBF9716D3}"/>
            </c:ext>
          </c:extLst>
        </c:ser>
        <c:ser>
          <c:idx val="5"/>
          <c:order val="5"/>
          <c:tx>
            <c:strRef>
              <c:f>РзПр!$A$26</c:f>
              <c:strCache>
                <c:ptCount val="1"/>
                <c:pt idx="0">
                  <c:v>Социальная политика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РзПр!$B$26</c:f>
              <c:numCache>
                <c:formatCode>0%</c:formatCode>
                <c:ptCount val="1"/>
                <c:pt idx="0">
                  <c:v>5.8541135763489774E-3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97-4CB7-92EF-A64EBF9716D3}"/>
            </c:ext>
          </c:extLst>
        </c:ser>
        <c:ser>
          <c:idx val="6"/>
          <c:order val="6"/>
          <c:tx>
            <c:strRef>
              <c:f>РзПр!$A$27</c:f>
              <c:strCache>
                <c:ptCount val="1"/>
                <c:pt idx="0">
                  <c:v>Физическая культура и спорт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РзПр!$B$27</c:f>
              <c:numCache>
                <c:formatCode>0%</c:formatCode>
                <c:ptCount val="1"/>
                <c:pt idx="0">
                  <c:v>2.964232423414205E-3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97-4CB7-92EF-A64EBF9716D3}"/>
            </c:ext>
          </c:extLst>
        </c:ser>
        <c:ser>
          <c:idx val="7"/>
          <c:order val="7"/>
          <c:tx>
            <c:strRef>
              <c:f>РзПр!$A$28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РзПр!$B$28</c:f>
              <c:numCache>
                <c:formatCode>0%</c:formatCode>
                <c:ptCount val="1"/>
                <c:pt idx="0">
                  <c:v>4.0733419058278215E-2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97-4CB7-92EF-A64EBF971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217280"/>
        <c:axId val="151218816"/>
      </c:barChart>
      <c:catAx>
        <c:axId val="151217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218816"/>
        <c:crosses val="autoZero"/>
        <c:auto val="1"/>
        <c:lblAlgn val="ctr"/>
        <c:lblOffset val="100"/>
        <c:noMultiLvlLbl val="0"/>
      </c:catAx>
      <c:valAx>
        <c:axId val="151218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5121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088406672410395"/>
          <c:y val="5.9232648002333042E-2"/>
          <c:w val="0.31911593954273437"/>
          <c:h val="0.88658063575386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639654524086226E-2"/>
          <c:y val="5.0925925925925923E-2"/>
          <c:w val="0.96672069095182755"/>
          <c:h val="0.7815930300379119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РзПр!$B$17</c:f>
              <c:numCache>
                <c:formatCode>0%</c:formatCode>
                <c:ptCount val="1"/>
                <c:pt idx="0">
                  <c:v>0.10461886707964908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РзПр!$B$17:$C$17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0B7-4956-9DAB-B5E9CF5F2A9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РзПр!$B$20</c:f>
              <c:numCache>
                <c:formatCode>0%</c:formatCode>
                <c:ptCount val="1"/>
                <c:pt idx="0">
                  <c:v>9.2675082346549573E-2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РзПр!$B$20:$C$20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10B7-4956-9DAB-B5E9CF5F2A9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РзПр!$B$23</c:f>
              <c:numCache>
                <c:formatCode>0%</c:formatCode>
                <c:ptCount val="1"/>
                <c:pt idx="0">
                  <c:v>1.4687900472013082E-2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РзПр!$B$23:$C$23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10B7-4956-9DAB-B5E9CF5F2A9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РзПр!$B$24</c:f>
              <c:numCache>
                <c:formatCode>0%</c:formatCode>
                <c:ptCount val="1"/>
                <c:pt idx="0">
                  <c:v>0.66964622809543162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РзПр!$B$24:$C$24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10B7-4956-9DAB-B5E9CF5F2A9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РзПр!$B$25</c:f>
              <c:numCache>
                <c:formatCode>0%</c:formatCode>
                <c:ptCount val="1"/>
                <c:pt idx="0">
                  <c:v>6.8820156948315031E-2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РзПр!$B$25:$C$25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10B7-4956-9DAB-B5E9CF5F2A9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РзПр!$B$26</c:f>
              <c:numCache>
                <c:formatCode>0%</c:formatCode>
                <c:ptCount val="1"/>
                <c:pt idx="0">
                  <c:v>5.8541135763489774E-3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РзПр!$B$26:$C$26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10B7-4956-9DAB-B5E9CF5F2A9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РзПр!$B$27</c:f>
              <c:numCache>
                <c:formatCode>0%</c:formatCode>
                <c:ptCount val="1"/>
                <c:pt idx="0">
                  <c:v>2.964232423414205E-3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РзПр!$B$27:$C$27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10B7-4956-9DAB-B5E9CF5F2A9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РзПр!$B$28</c:f>
              <c:numCache>
                <c:formatCode>0%</c:formatCode>
                <c:ptCount val="1"/>
                <c:pt idx="0">
                  <c:v>4.0733419058278215E-2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РзПр!$B$28:$C$28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10B7-4956-9DAB-B5E9CF5F2A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1489920"/>
        <c:axId val="151499904"/>
      </c:barChart>
      <c:catAx>
        <c:axId val="151489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1499904"/>
        <c:crosses val="autoZero"/>
        <c:auto val="1"/>
        <c:lblAlgn val="ctr"/>
        <c:lblOffset val="100"/>
        <c:noMultiLvlLbl val="0"/>
      </c:catAx>
      <c:valAx>
        <c:axId val="151499904"/>
        <c:scaling>
          <c:orientation val="minMax"/>
          <c:max val="1"/>
        </c:scaling>
        <c:delete val="1"/>
        <c:axPos val="b"/>
        <c:numFmt formatCode="0%" sourceLinked="1"/>
        <c:majorTickMark val="none"/>
        <c:minorTickMark val="none"/>
        <c:tickLblPos val="nextTo"/>
        <c:crossAx val="1514899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1719418298464161E-3"/>
          <c:y val="0.68437080781568982"/>
          <c:w val="0.99882807758867231"/>
          <c:h val="0.195258821813939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62576800032794E-2"/>
          <c:y val="0"/>
          <c:w val="0.30500253058816884"/>
          <c:h val="0.9487714426642796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bg1"/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explosion val="3"/>
          <c:dPt>
            <c:idx val="0"/>
            <c:bubble3D val="0"/>
            <c:spPr>
              <a:solidFill>
                <a:srgbClr val="00B0F0"/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3E-4FE2-8905-7FAE15A939DD}"/>
              </c:ext>
            </c:extLst>
          </c:dPt>
          <c:dPt>
            <c:idx val="1"/>
            <c:bubble3D val="0"/>
            <c:spPr>
              <a:solidFill>
                <a:sysClr val="window" lastClr="FFFFFF"/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3E-4FE2-8905-7FAE15A939DD}"/>
              </c:ext>
            </c:extLst>
          </c:dPt>
          <c:dPt>
            <c:idx val="2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3E-4FE2-8905-7FAE15A939D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3E-4FE2-8905-7FAE15A939DD}"/>
              </c:ext>
            </c:extLst>
          </c:dPt>
          <c:dPt>
            <c:idx val="4"/>
            <c:bubble3D val="0"/>
            <c:spPr>
              <a:solidFill>
                <a:schemeClr val="bg2">
                  <a:lumMod val="75000"/>
                </a:schemeClr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83E-4FE2-8905-7FAE15A939DD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  <a:ln w="3175">
                <a:solidFill>
                  <a:schemeClr val="bg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83E-4FE2-8905-7FAE15A939DD}"/>
              </c:ext>
            </c:extLst>
          </c:dPt>
          <c:dLbls>
            <c:dLbl>
              <c:idx val="0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3E-4FE2-8905-7FAE15A939DD}"/>
                </c:ext>
              </c:extLst>
            </c:dLbl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3E-4FE2-8905-7FAE15A939DD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3E-4FE2-8905-7FAE15A939DD}"/>
                </c:ext>
              </c:extLst>
            </c:dLbl>
            <c:dLbl>
              <c:idx val="3"/>
              <c:layout>
                <c:manualLayout>
                  <c:x val="-7.7081580794787522E-3"/>
                  <c:y val="4.464867428684657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9.8468406791049221E-2"/>
                  <c:y val="6.56795268052754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3E-4FE2-8905-7FAE15A939DD}"/>
                </c:ext>
              </c:extLst>
            </c:dLbl>
            <c:dLbl>
              <c:idx val="5"/>
              <c:layout>
                <c:manualLayout>
                  <c:x val="7.4499045516896498E-2"/>
                  <c:y val="-0.1819566766821467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3E-4FE2-8905-7FAE15A939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200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доходы!$J$14:$J$20</c:f>
              <c:strCache>
                <c:ptCount val="7"/>
                <c:pt idx="0">
                  <c:v>Акцизы</c:v>
                </c:pt>
                <c:pt idx="1">
                  <c:v>Госпошлина</c:v>
                </c:pt>
                <c:pt idx="2">
                  <c:v>Налог на добычу полезных ископаемых</c:v>
                </c:pt>
                <c:pt idx="3">
                  <c:v>Имущественные налоги</c:v>
                </c:pt>
                <c:pt idx="4">
                  <c:v>Налог на доходы физических лиц</c:v>
                </c:pt>
                <c:pt idx="5">
                  <c:v>НДФЛ</c:v>
                </c:pt>
                <c:pt idx="6">
                  <c:v>Налоги, сборы и регулярные платежи за пользование природными ресурсами</c:v>
                </c:pt>
              </c:strCache>
            </c:strRef>
          </c:cat>
          <c:val>
            <c:numRef>
              <c:f>доходы!$K$14:$K$20</c:f>
              <c:numCache>
                <c:formatCode>0.0</c:formatCode>
                <c:ptCount val="7"/>
                <c:pt idx="0">
                  <c:v>40.337199999999996</c:v>
                </c:pt>
                <c:pt idx="1">
                  <c:v>2.52</c:v>
                </c:pt>
                <c:pt idx="2">
                  <c:v>1E-3</c:v>
                </c:pt>
                <c:pt idx="3">
                  <c:v>29.9</c:v>
                </c:pt>
                <c:pt idx="4">
                  <c:v>11.4</c:v>
                </c:pt>
                <c:pt idx="5">
                  <c:v>256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83E-4FE2-8905-7FAE15A93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6547397007617805"/>
          <c:y val="0.14290091007655156"/>
          <c:w val="0.61489670590791479"/>
          <c:h val="0.8045410646064064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800" b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ACACA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52920253552205E-2"/>
          <c:y val="0.23840683741636506"/>
          <c:w val="0.27375456223750355"/>
          <c:h val="0.6682382547592034"/>
        </c:manualLayout>
      </c:layout>
      <c:pieChart>
        <c:varyColors val="1"/>
        <c:ser>
          <c:idx val="0"/>
          <c:order val="0"/>
          <c:spPr>
            <a:ln w="3175"/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3"/>
            <c:spPr>
              <a:solidFill>
                <a:srgbClr val="0070C0"/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11-47EF-ABBD-7EE830B92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711-47EF-ABBD-7EE830B92413}"/>
              </c:ext>
            </c:extLst>
          </c:dPt>
          <c:dPt>
            <c:idx val="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711-47EF-ABBD-7EE830B92413}"/>
              </c:ext>
            </c:extLst>
          </c:dPt>
          <c:dPt>
            <c:idx val="3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711-47EF-ABBD-7EE830B92413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711-47EF-ABBD-7EE830B92413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chemeClr val="lt1"/>
                </a:solidFill>
              </a:ln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711-47EF-ABBD-7EE830B92413}"/>
              </c:ext>
            </c:extLst>
          </c:dPt>
          <c:dLbls>
            <c:dLbl>
              <c:idx val="2"/>
              <c:layout>
                <c:manualLayout>
                  <c:x val="-5.6238650156805619E-4"/>
                  <c:y val="-3.062307221151837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layout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7225832851242825E-2"/>
                  <c:y val="2.51118438219038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доходы!$J$23:$J$28</c:f>
              <c:strCache>
                <c:ptCount val="6"/>
                <c:pt idx="0">
                  <c:v>Аренда имущества</c:v>
                </c:pt>
                <c:pt idx="1">
                  <c:v>Компенсация затрат государства</c:v>
                </c:pt>
                <c:pt idx="2">
                  <c:v>Продажа имущества</c:v>
                </c:pt>
                <c:pt idx="3">
                  <c:v>Пользование природными ресурсами</c:v>
                </c:pt>
                <c:pt idx="4">
                  <c:v>Штрафы, санкции</c:v>
                </c:pt>
                <c:pt idx="5">
                  <c:v>Прочие неналоговые доходы</c:v>
                </c:pt>
              </c:strCache>
            </c:strRef>
          </c:cat>
          <c:val>
            <c:numRef>
              <c:f>доходы!$K$23:$K$28</c:f>
              <c:numCache>
                <c:formatCode>0.0</c:formatCode>
                <c:ptCount val="6"/>
                <c:pt idx="0">
                  <c:v>8.0559999999999992</c:v>
                </c:pt>
                <c:pt idx="1">
                  <c:v>0.114</c:v>
                </c:pt>
                <c:pt idx="2">
                  <c:v>7</c:v>
                </c:pt>
                <c:pt idx="3">
                  <c:v>0.27900000000000003</c:v>
                </c:pt>
                <c:pt idx="4">
                  <c:v>1.6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711-47EF-ABBD-7EE830B9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996060738186744"/>
          <c:y val="0.19487413746076404"/>
          <c:w val="0.66856329476688248"/>
          <c:h val="0.75783307143645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ACACA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315566722818822E-2"/>
          <c:y val="5.4596425658375247E-2"/>
          <c:w val="0.46758962063358817"/>
          <c:h val="0.792979919924203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9E2-4396-B2F3-642383E2228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9E2-4396-B2F3-642383E22281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9E2-4396-B2F3-642383E22281}"/>
              </c:ext>
            </c:extLst>
          </c:dPt>
          <c:dLbls>
            <c:dLbl>
              <c:idx val="1"/>
              <c:layout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E2-4396-B2F3-642383E22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доходы!$J$6:$J$8</c:f>
              <c:strCache>
                <c:ptCount val="3"/>
                <c:pt idx="0">
                  <c:v>Налоговые доходы</c:v>
                </c:pt>
                <c:pt idx="1">
                  <c:v>Неналоговые доходы</c:v>
                </c:pt>
                <c:pt idx="2">
                  <c:v>Безвозмездные поступления</c:v>
                </c:pt>
              </c:strCache>
            </c:strRef>
          </c:cat>
          <c:val>
            <c:numRef>
              <c:f>доходы!$L$6:$L$8</c:f>
              <c:numCache>
                <c:formatCode>#,##0.0</c:formatCode>
                <c:ptCount val="3"/>
                <c:pt idx="0">
                  <c:v>340.15820000000002</c:v>
                </c:pt>
                <c:pt idx="1">
                  <c:v>17.048999999999999</c:v>
                </c:pt>
                <c:pt idx="2">
                  <c:v>834.43349999999998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31-4CC4-99C6-5A4B64AA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4390181179366059"/>
          <c:y val="0.22091352026532626"/>
          <c:w val="0.37224268118133397"/>
          <c:h val="0.50426732820303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30765221163622092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РзПр!$A$17</c:f>
              <c:strCache>
                <c:ptCount val="1"/>
                <c:pt idx="0">
                  <c:v>Общегосударсвтенные вопросы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РзПр!$B$17</c:f>
              <c:numCache>
                <c:formatCode>0%</c:formatCode>
                <c:ptCount val="1"/>
                <c:pt idx="0">
                  <c:v>0.10461886707964908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РзПр!$B$17:$C$17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88-4D19-A240-884FBCBC3710}"/>
            </c:ext>
          </c:extLst>
        </c:ser>
        <c:ser>
          <c:idx val="1"/>
          <c:order val="1"/>
          <c:tx>
            <c:strRef>
              <c:f>РзПр!$A$20</c:f>
              <c:strCache>
                <c:ptCount val="1"/>
                <c:pt idx="0">
                  <c:v>Национальная экономика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РзПр!$B$20</c:f>
              <c:numCache>
                <c:formatCode>0%</c:formatCode>
                <c:ptCount val="1"/>
                <c:pt idx="0">
                  <c:v>9.2675082346549573E-2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РзПр!$B$20:$C$20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88-4D19-A240-884FBCBC3710}"/>
            </c:ext>
          </c:extLst>
        </c:ser>
        <c:ser>
          <c:idx val="2"/>
          <c:order val="2"/>
          <c:tx>
            <c:strRef>
              <c:f>РзПр!$A$23</c:f>
              <c:strCache>
                <c:ptCount val="1"/>
                <c:pt idx="0">
                  <c:v>Жилищно-коммунальное хозяйство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РзПр!$B$23</c:f>
              <c:numCache>
                <c:formatCode>0%</c:formatCode>
                <c:ptCount val="1"/>
                <c:pt idx="0">
                  <c:v>1.4687900472013082E-2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РзПр!$B$23:$C$23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88-4D19-A240-884FBCBC3710}"/>
            </c:ext>
          </c:extLst>
        </c:ser>
        <c:ser>
          <c:idx val="3"/>
          <c:order val="3"/>
          <c:tx>
            <c:strRef>
              <c:f>РзПр!$A$24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264-403D-A29C-B8DEF37FD3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1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РзПр!$B$24</c:f>
              <c:numCache>
                <c:formatCode>0%</c:formatCode>
                <c:ptCount val="1"/>
                <c:pt idx="0">
                  <c:v>0.66964622809543162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РзПр!$B$24:$C$24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88-4D19-A240-884FBCBC3710}"/>
            </c:ext>
          </c:extLst>
        </c:ser>
        <c:ser>
          <c:idx val="4"/>
          <c:order val="4"/>
          <c:tx>
            <c:strRef>
              <c:f>РзПр!$A$25</c:f>
              <c:strCache>
                <c:ptCount val="1"/>
                <c:pt idx="0">
                  <c:v>Культура, кинематография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РзПр!$B$25</c:f>
              <c:numCache>
                <c:formatCode>0%</c:formatCode>
                <c:ptCount val="1"/>
                <c:pt idx="0">
                  <c:v>6.8820156948315031E-2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РзПр!$B$25:$C$25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88-4D19-A240-884FBCBC3710}"/>
            </c:ext>
          </c:extLst>
        </c:ser>
        <c:ser>
          <c:idx val="5"/>
          <c:order val="5"/>
          <c:tx>
            <c:strRef>
              <c:f>РзПр!$A$26</c:f>
              <c:strCache>
                <c:ptCount val="1"/>
                <c:pt idx="0">
                  <c:v>Социальная политика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39975115578476E-17"/>
                  <c:y val="-7.095707404314805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РзПр!$B$26</c:f>
              <c:numCache>
                <c:formatCode>0%</c:formatCode>
                <c:ptCount val="1"/>
                <c:pt idx="0">
                  <c:v>5.8541135763489774E-3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РзПр!$B$26:$C$26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88-4D19-A240-884FBCBC3710}"/>
            </c:ext>
          </c:extLst>
        </c:ser>
        <c:ser>
          <c:idx val="6"/>
          <c:order val="6"/>
          <c:tx>
            <c:strRef>
              <c:f>РзПр!$A$27</c:f>
              <c:strCache>
                <c:ptCount val="1"/>
                <c:pt idx="0">
                  <c:v>Физическая культура и спорт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1507392876878346E-2"/>
                  <c:y val="8.97174029324198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0" i="0" u="none" strike="noStrike" kern="1200" baseline="0">
                      <a:solidFill>
                        <a:sysClr val="windowText" lastClr="000000"/>
                      </a:solidFill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600" b="1" i="0" u="none" strike="noStrike" kern="1200" baseline="0">
                    <a:solidFill>
                      <a:schemeClr val="bg1"/>
                    </a:solidFill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РзПр!$B$27</c:f>
              <c:numCache>
                <c:formatCode>0%</c:formatCode>
                <c:ptCount val="1"/>
                <c:pt idx="0">
                  <c:v>2.964232423414205E-3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РзПр!$B$27:$C$27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88-4D19-A240-884FBCBC3710}"/>
            </c:ext>
          </c:extLst>
        </c:ser>
        <c:ser>
          <c:idx val="7"/>
          <c:order val="7"/>
          <c:tx>
            <c:strRef>
              <c:f>РзПр!$A$28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4904604430733841E-2"/>
                  <c:y val="1.655680571534691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f>РзПр!$B$28</c:f>
              <c:numCache>
                <c:formatCode>0%</c:formatCode>
                <c:ptCount val="1"/>
                <c:pt idx="0">
                  <c:v>4.0733419058278215E-2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РзПр!$B$28:$C$28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88-4D19-A240-884FBCBC3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233088"/>
        <c:axId val="152234624"/>
      </c:barChart>
      <c:catAx>
        <c:axId val="152233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2234624"/>
        <c:crosses val="autoZero"/>
        <c:auto val="1"/>
        <c:lblAlgn val="ctr"/>
        <c:lblOffset val="100"/>
        <c:noMultiLvlLbl val="0"/>
      </c:catAx>
      <c:valAx>
        <c:axId val="15223462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522330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70C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70C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70C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rgbClr val="0070C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26714873282252127"/>
          <c:y val="0.13744804279996614"/>
          <c:w val="0.53847051656252187"/>
          <c:h val="0.76052539946497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10.xml"/><Relationship Id="rId3" Type="http://schemas.openxmlformats.org/officeDocument/2006/relationships/chart" Target="../charts/chart7.xml"/><Relationship Id="rId7" Type="http://schemas.openxmlformats.org/officeDocument/2006/relationships/image" Target="../media/image2.png"/><Relationship Id="rId12" Type="http://schemas.openxmlformats.org/officeDocument/2006/relationships/image" Target="../media/image7.png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hyperlink" Target="http://old.old-admkumertau.ru/ru/dashbord.html" TargetMode="External"/><Relationship Id="rId11" Type="http://schemas.openxmlformats.org/officeDocument/2006/relationships/image" Target="../media/image6.png"/><Relationship Id="rId5" Type="http://schemas.openxmlformats.org/officeDocument/2006/relationships/chart" Target="../charts/chart9.xml"/><Relationship Id="rId10" Type="http://schemas.openxmlformats.org/officeDocument/2006/relationships/image" Target="../media/image5.png"/><Relationship Id="rId4" Type="http://schemas.openxmlformats.org/officeDocument/2006/relationships/chart" Target="../charts/chart8.xml"/><Relationship Id="rId9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52387</xdr:rowOff>
    </xdr:from>
    <xdr:to>
      <xdr:col>19</xdr:col>
      <xdr:colOff>19050</xdr:colOff>
      <xdr:row>15</xdr:row>
      <xdr:rowOff>128587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5B0451A-8A9E-444A-BC98-5A8DFDD00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2</xdr:row>
      <xdr:rowOff>114300</xdr:rowOff>
    </xdr:from>
    <xdr:to>
      <xdr:col>21</xdr:col>
      <xdr:colOff>188550</xdr:colOff>
      <xdr:row>4</xdr:row>
      <xdr:rowOff>93300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FF34B2A-DA34-494A-89E1-56BB5958ED5C}"/>
            </a:ext>
          </a:extLst>
        </xdr:cNvPr>
        <xdr:cNvSpPr/>
      </xdr:nvSpPr>
      <xdr:spPr>
        <a:xfrm>
          <a:off x="15859125" y="495300"/>
          <a:ext cx="360000" cy="360000"/>
        </a:xfrm>
        <a:prstGeom prst="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20</xdr:col>
      <xdr:colOff>438150</xdr:colOff>
      <xdr:row>4</xdr:row>
      <xdr:rowOff>147638</xdr:rowOff>
    </xdr:from>
    <xdr:to>
      <xdr:col>21</xdr:col>
      <xdr:colOff>188550</xdr:colOff>
      <xdr:row>6</xdr:row>
      <xdr:rowOff>126638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CA9EA25A-2449-47AC-A03E-69FF04028365}"/>
            </a:ext>
          </a:extLst>
        </xdr:cNvPr>
        <xdr:cNvSpPr/>
      </xdr:nvSpPr>
      <xdr:spPr>
        <a:xfrm>
          <a:off x="15859125" y="909638"/>
          <a:ext cx="360000" cy="3600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20</xdr:col>
      <xdr:colOff>438150</xdr:colOff>
      <xdr:row>6</xdr:row>
      <xdr:rowOff>180976</xdr:rowOff>
    </xdr:from>
    <xdr:to>
      <xdr:col>21</xdr:col>
      <xdr:colOff>188550</xdr:colOff>
      <xdr:row>8</xdr:row>
      <xdr:rowOff>159976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D7AD1F54-F85A-4D65-9F71-DBF5BF061905}"/>
            </a:ext>
          </a:extLst>
        </xdr:cNvPr>
        <xdr:cNvSpPr/>
      </xdr:nvSpPr>
      <xdr:spPr>
        <a:xfrm>
          <a:off x="15859125" y="1323976"/>
          <a:ext cx="360000" cy="360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20</xdr:col>
      <xdr:colOff>476250</xdr:colOff>
      <xdr:row>12</xdr:row>
      <xdr:rowOff>14289</xdr:rowOff>
    </xdr:from>
    <xdr:to>
      <xdr:col>21</xdr:col>
      <xdr:colOff>226650</xdr:colOff>
      <xdr:row>13</xdr:row>
      <xdr:rowOff>183789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354CEE9D-17DF-4D7A-85A1-C1CF5C3C1E48}"/>
            </a:ext>
          </a:extLst>
        </xdr:cNvPr>
        <xdr:cNvSpPr/>
      </xdr:nvSpPr>
      <xdr:spPr>
        <a:xfrm>
          <a:off x="15897225" y="2300289"/>
          <a:ext cx="360000" cy="360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20</xdr:col>
      <xdr:colOff>476250</xdr:colOff>
      <xdr:row>14</xdr:row>
      <xdr:rowOff>47625</xdr:rowOff>
    </xdr:from>
    <xdr:to>
      <xdr:col>21</xdr:col>
      <xdr:colOff>226650</xdr:colOff>
      <xdr:row>16</xdr:row>
      <xdr:rowOff>26625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85CC64-AB4A-4821-89FB-A80EF53ABCE8}"/>
            </a:ext>
          </a:extLst>
        </xdr:cNvPr>
        <xdr:cNvSpPr/>
      </xdr:nvSpPr>
      <xdr:spPr>
        <a:xfrm>
          <a:off x="15897225" y="2714625"/>
          <a:ext cx="360000" cy="360000"/>
        </a:xfrm>
        <a:prstGeom prst="rect">
          <a:avLst/>
        </a:prstGeom>
        <a:solidFill>
          <a:schemeClr val="bg2">
            <a:lumMod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21</xdr:col>
      <xdr:colOff>219075</xdr:colOff>
      <xdr:row>2</xdr:row>
      <xdr:rowOff>104775</xdr:rowOff>
    </xdr:from>
    <xdr:to>
      <xdr:col>23</xdr:col>
      <xdr:colOff>381000</xdr:colOff>
      <xdr:row>4</xdr:row>
      <xdr:rowOff>83775</xdr:rowOff>
    </xdr:to>
    <xdr:sp macro="" textlink="">
      <xdr:nvSpPr>
        <xdr:cNvPr id="11" name="Прямоугольник: скругленные углы 10">
          <a:extLst>
            <a:ext uri="{FF2B5EF4-FFF2-40B4-BE49-F238E27FC236}">
              <a16:creationId xmlns:a16="http://schemas.microsoft.com/office/drawing/2014/main" xmlns="" id="{1D9F8795-1C2B-4450-A6EB-B718B60F9A75}"/>
            </a:ext>
          </a:extLst>
        </xdr:cNvPr>
        <xdr:cNvSpPr/>
      </xdr:nvSpPr>
      <xdr:spPr>
        <a:xfrm>
          <a:off x="16249650" y="485775"/>
          <a:ext cx="138112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НАЛОГОВЫЕ</a:t>
          </a:r>
        </a:p>
      </xdr:txBody>
    </xdr:sp>
    <xdr:clientData/>
  </xdr:twoCellAnchor>
  <xdr:twoCellAnchor>
    <xdr:from>
      <xdr:col>21</xdr:col>
      <xdr:colOff>219075</xdr:colOff>
      <xdr:row>4</xdr:row>
      <xdr:rowOff>133350</xdr:rowOff>
    </xdr:from>
    <xdr:to>
      <xdr:col>23</xdr:col>
      <xdr:colOff>381000</xdr:colOff>
      <xdr:row>6</xdr:row>
      <xdr:rowOff>112350</xdr:rowOff>
    </xdr:to>
    <xdr:sp macro="" textlink="">
      <xdr:nvSpPr>
        <xdr:cNvPr id="12" name="Прямоугольник: скругленные углы 11">
          <a:extLst>
            <a:ext uri="{FF2B5EF4-FFF2-40B4-BE49-F238E27FC236}">
              <a16:creationId xmlns:a16="http://schemas.microsoft.com/office/drawing/2014/main" xmlns="" id="{FE24B017-00E7-41FE-9634-977C628C7750}"/>
            </a:ext>
          </a:extLst>
        </xdr:cNvPr>
        <xdr:cNvSpPr/>
      </xdr:nvSpPr>
      <xdr:spPr>
        <a:xfrm>
          <a:off x="16249650" y="895350"/>
          <a:ext cx="138112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НЕНАЛОГОВЫЕ</a:t>
          </a:r>
        </a:p>
      </xdr:txBody>
    </xdr:sp>
    <xdr:clientData/>
  </xdr:twoCellAnchor>
  <xdr:twoCellAnchor>
    <xdr:from>
      <xdr:col>21</xdr:col>
      <xdr:colOff>219075</xdr:colOff>
      <xdr:row>6</xdr:row>
      <xdr:rowOff>152400</xdr:rowOff>
    </xdr:from>
    <xdr:to>
      <xdr:col>23</xdr:col>
      <xdr:colOff>381000</xdr:colOff>
      <xdr:row>8</xdr:row>
      <xdr:rowOff>131400</xdr:rowOff>
    </xdr:to>
    <xdr:sp macro="" textlink="">
      <xdr:nvSpPr>
        <xdr:cNvPr id="13" name="Прямоугольник: скругленные углы 12">
          <a:extLst>
            <a:ext uri="{FF2B5EF4-FFF2-40B4-BE49-F238E27FC236}">
              <a16:creationId xmlns:a16="http://schemas.microsoft.com/office/drawing/2014/main" xmlns="" id="{1F5FE8ED-4231-43E5-B4E2-E6B2CD307661}"/>
            </a:ext>
          </a:extLst>
        </xdr:cNvPr>
        <xdr:cNvSpPr/>
      </xdr:nvSpPr>
      <xdr:spPr>
        <a:xfrm>
          <a:off x="16249650" y="1295400"/>
          <a:ext cx="138112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БЕЗВОЗМЕЗДНЫЕ</a:t>
          </a:r>
        </a:p>
      </xdr:txBody>
    </xdr:sp>
    <xdr:clientData/>
  </xdr:twoCellAnchor>
  <xdr:twoCellAnchor>
    <xdr:from>
      <xdr:col>21</xdr:col>
      <xdr:colOff>247650</xdr:colOff>
      <xdr:row>11</xdr:row>
      <xdr:rowOff>171450</xdr:rowOff>
    </xdr:from>
    <xdr:to>
      <xdr:col>23</xdr:col>
      <xdr:colOff>409575</xdr:colOff>
      <xdr:row>13</xdr:row>
      <xdr:rowOff>150450</xdr:rowOff>
    </xdr:to>
    <xdr:sp macro="" textlink="">
      <xdr:nvSpPr>
        <xdr:cNvPr id="14" name="Прямоугольник: скругленные углы 13">
          <a:extLst>
            <a:ext uri="{FF2B5EF4-FFF2-40B4-BE49-F238E27FC236}">
              <a16:creationId xmlns:a16="http://schemas.microsoft.com/office/drawing/2014/main" xmlns="" id="{C50EC241-460E-419F-A3A3-2AFA8A682FD9}"/>
            </a:ext>
          </a:extLst>
        </xdr:cNvPr>
        <xdr:cNvSpPr/>
      </xdr:nvSpPr>
      <xdr:spPr>
        <a:xfrm>
          <a:off x="16278225" y="2266950"/>
          <a:ext cx="138112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ПРОГРАММНЫЕ</a:t>
          </a:r>
        </a:p>
      </xdr:txBody>
    </xdr:sp>
    <xdr:clientData/>
  </xdr:twoCellAnchor>
  <xdr:twoCellAnchor>
    <xdr:from>
      <xdr:col>21</xdr:col>
      <xdr:colOff>247650</xdr:colOff>
      <xdr:row>14</xdr:row>
      <xdr:rowOff>38100</xdr:rowOff>
    </xdr:from>
    <xdr:to>
      <xdr:col>23</xdr:col>
      <xdr:colOff>409575</xdr:colOff>
      <xdr:row>16</xdr:row>
      <xdr:rowOff>17100</xdr:rowOff>
    </xdr:to>
    <xdr:sp macro="" textlink="">
      <xdr:nvSpPr>
        <xdr:cNvPr id="15" name="Прямоугольник: скругленные углы 14">
          <a:extLst>
            <a:ext uri="{FF2B5EF4-FFF2-40B4-BE49-F238E27FC236}">
              <a16:creationId xmlns:a16="http://schemas.microsoft.com/office/drawing/2014/main" xmlns="" id="{A923D65C-A327-4DC1-B2C8-41782906808A}"/>
            </a:ext>
          </a:extLst>
        </xdr:cNvPr>
        <xdr:cNvSpPr/>
      </xdr:nvSpPr>
      <xdr:spPr>
        <a:xfrm>
          <a:off x="16278225" y="2705100"/>
          <a:ext cx="138112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НЕПРОГРАММНЫЕ</a:t>
          </a:r>
        </a:p>
      </xdr:txBody>
    </xdr:sp>
    <xdr:clientData/>
  </xdr:twoCellAnchor>
  <xdr:twoCellAnchor>
    <xdr:from>
      <xdr:col>19</xdr:col>
      <xdr:colOff>476250</xdr:colOff>
      <xdr:row>2</xdr:row>
      <xdr:rowOff>104775</xdr:rowOff>
    </xdr:from>
    <xdr:to>
      <xdr:col>20</xdr:col>
      <xdr:colOff>352425</xdr:colOff>
      <xdr:row>4</xdr:row>
      <xdr:rowOff>83775</xdr:rowOff>
    </xdr:to>
    <xdr:sp macro="" textlink="$B$17">
      <xdr:nvSpPr>
        <xdr:cNvPr id="16" name="Прямоугольник: скругленные углы 15">
          <a:extLst>
            <a:ext uri="{FF2B5EF4-FFF2-40B4-BE49-F238E27FC236}">
              <a16:creationId xmlns:a16="http://schemas.microsoft.com/office/drawing/2014/main" xmlns="" id="{BE5879AA-F06B-4238-B1E0-E89411AD3A7C}"/>
            </a:ext>
          </a:extLst>
        </xdr:cNvPr>
        <xdr:cNvSpPr/>
      </xdr:nvSpPr>
      <xdr:spPr>
        <a:xfrm>
          <a:off x="15287625" y="485775"/>
          <a:ext cx="48577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BE0C4A72-80F6-4F67-81E7-F85AC1F366EA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29%</a:t>
          </a:fld>
          <a:endParaRPr lang="ru-RU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476250</xdr:colOff>
      <xdr:row>4</xdr:row>
      <xdr:rowOff>133350</xdr:rowOff>
    </xdr:from>
    <xdr:to>
      <xdr:col>20</xdr:col>
      <xdr:colOff>352425</xdr:colOff>
      <xdr:row>6</xdr:row>
      <xdr:rowOff>112350</xdr:rowOff>
    </xdr:to>
    <xdr:sp macro="" textlink="$C$17">
      <xdr:nvSpPr>
        <xdr:cNvPr id="17" name="Прямоугольник: скругленные углы 16">
          <a:extLst>
            <a:ext uri="{FF2B5EF4-FFF2-40B4-BE49-F238E27FC236}">
              <a16:creationId xmlns:a16="http://schemas.microsoft.com/office/drawing/2014/main" xmlns="" id="{FFA51632-7C23-4D62-8890-3AE23B5388DC}"/>
            </a:ext>
          </a:extLst>
        </xdr:cNvPr>
        <xdr:cNvSpPr/>
      </xdr:nvSpPr>
      <xdr:spPr>
        <a:xfrm>
          <a:off x="15287625" y="895350"/>
          <a:ext cx="48577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7FCF025E-0DD1-4D42-9554-61BB11FB3568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1%</a:t>
          </a:fld>
          <a:endParaRPr lang="ru-RU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476250</xdr:colOff>
      <xdr:row>6</xdr:row>
      <xdr:rowOff>152400</xdr:rowOff>
    </xdr:from>
    <xdr:to>
      <xdr:col>20</xdr:col>
      <xdr:colOff>352425</xdr:colOff>
      <xdr:row>8</xdr:row>
      <xdr:rowOff>131400</xdr:rowOff>
    </xdr:to>
    <xdr:sp macro="" textlink="$D$17">
      <xdr:nvSpPr>
        <xdr:cNvPr id="18" name="Прямоугольник: скругленные углы 17">
          <a:extLst>
            <a:ext uri="{FF2B5EF4-FFF2-40B4-BE49-F238E27FC236}">
              <a16:creationId xmlns:a16="http://schemas.microsoft.com/office/drawing/2014/main" xmlns="" id="{33B93922-34AA-494D-B282-3577FF1B8366}"/>
            </a:ext>
          </a:extLst>
        </xdr:cNvPr>
        <xdr:cNvSpPr/>
      </xdr:nvSpPr>
      <xdr:spPr>
        <a:xfrm>
          <a:off x="15287625" y="1295400"/>
          <a:ext cx="48577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695FB916-3C54-4562-A935-DCB76BB24227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70%</a:t>
          </a:fld>
          <a:endParaRPr lang="ru-RU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504825</xdr:colOff>
      <xdr:row>11</xdr:row>
      <xdr:rowOff>171450</xdr:rowOff>
    </xdr:from>
    <xdr:to>
      <xdr:col>20</xdr:col>
      <xdr:colOff>381000</xdr:colOff>
      <xdr:row>13</xdr:row>
      <xdr:rowOff>150450</xdr:rowOff>
    </xdr:to>
    <xdr:sp macro="" textlink="$E$18">
      <xdr:nvSpPr>
        <xdr:cNvPr id="19" name="Прямоугольник: скругленные углы 18">
          <a:extLst>
            <a:ext uri="{FF2B5EF4-FFF2-40B4-BE49-F238E27FC236}">
              <a16:creationId xmlns:a16="http://schemas.microsoft.com/office/drawing/2014/main" xmlns="" id="{EFDB9DBF-D109-4DB6-9BD7-38E44A216A16}"/>
            </a:ext>
          </a:extLst>
        </xdr:cNvPr>
        <xdr:cNvSpPr/>
      </xdr:nvSpPr>
      <xdr:spPr>
        <a:xfrm>
          <a:off x="15316200" y="2266950"/>
          <a:ext cx="48577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5C52F4E2-8956-433A-B7F4-34DB81225CC7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99%</a:t>
          </a:fld>
          <a:endParaRPr lang="ru-RU" sz="1100" b="1" i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504825</xdr:colOff>
      <xdr:row>14</xdr:row>
      <xdr:rowOff>38100</xdr:rowOff>
    </xdr:from>
    <xdr:to>
      <xdr:col>20</xdr:col>
      <xdr:colOff>381000</xdr:colOff>
      <xdr:row>16</xdr:row>
      <xdr:rowOff>17100</xdr:rowOff>
    </xdr:to>
    <xdr:sp macro="" textlink="$F$18">
      <xdr:nvSpPr>
        <xdr:cNvPr id="20" name="Прямоугольник: скругленные углы 19">
          <a:extLst>
            <a:ext uri="{FF2B5EF4-FFF2-40B4-BE49-F238E27FC236}">
              <a16:creationId xmlns:a16="http://schemas.microsoft.com/office/drawing/2014/main" xmlns="" id="{45633D02-99E2-4E29-9B7E-30627FB75202}"/>
            </a:ext>
          </a:extLst>
        </xdr:cNvPr>
        <xdr:cNvSpPr/>
      </xdr:nvSpPr>
      <xdr:spPr>
        <a:xfrm>
          <a:off x="15316200" y="2705100"/>
          <a:ext cx="485775" cy="360000"/>
        </a:xfrm>
        <a:prstGeom prst="roundRect">
          <a:avLst/>
        </a:prstGeom>
        <a:solidFill>
          <a:schemeClr val="bg1"/>
        </a:solidFill>
        <a:ln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fld id="{53081450-6B0C-4231-BCAB-7D272E94A2DA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 algn="r"/>
            <a:t>1%</a:t>
          </a:fld>
          <a:endParaRPr lang="ru-RU" sz="1100" b="1" i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11</xdr:row>
      <xdr:rowOff>185737</xdr:rowOff>
    </xdr:from>
    <xdr:to>
      <xdr:col>12</xdr:col>
      <xdr:colOff>266700</xdr:colOff>
      <xdr:row>26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4886BC-25A1-417F-B875-1EB89A0C4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266699</xdr:colOff>
      <xdr:row>2</xdr:row>
      <xdr:rowOff>176212</xdr:rowOff>
    </xdr:from>
    <xdr:to>
      <xdr:col>12</xdr:col>
      <xdr:colOff>723899</xdr:colOff>
      <xdr:row>17</xdr:row>
      <xdr:rowOff>61912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10B003C8-F241-4B63-BC0C-9C767E1F5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523875</xdr:colOff>
      <xdr:row>12</xdr:row>
      <xdr:rowOff>142875</xdr:rowOff>
    </xdr:from>
    <xdr:to>
      <xdr:col>10</xdr:col>
      <xdr:colOff>771525</xdr:colOff>
      <xdr:row>26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од 2">
              <a:extLst>
                <a:ext uri="{FF2B5EF4-FFF2-40B4-BE49-F238E27FC236}">
                  <a16:creationId xmlns:a16="http://schemas.microsoft.com/office/drawing/2014/main" xmlns="" id="{CCA9E237-6A2B-46F9-B83D-E2448C2F99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34225" y="2428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11</xdr:row>
      <xdr:rowOff>128587</xdr:rowOff>
    </xdr:from>
    <xdr:to>
      <xdr:col>14</xdr:col>
      <xdr:colOff>304800</xdr:colOff>
      <xdr:row>26</xdr:row>
      <xdr:rowOff>14287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B12FD6CC-6E0C-44AE-86C5-B201AAE91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571498</xdr:colOff>
      <xdr:row>32</xdr:row>
      <xdr:rowOff>159202</xdr:rowOff>
    </xdr:from>
    <xdr:to>
      <xdr:col>9</xdr:col>
      <xdr:colOff>2136321</xdr:colOff>
      <xdr:row>50</xdr:row>
      <xdr:rowOff>68035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9CCBAF2-1017-4EE3-AE19-D7B60E4F7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575582</xdr:colOff>
      <xdr:row>30</xdr:row>
      <xdr:rowOff>172810</xdr:rowOff>
    </xdr:from>
    <xdr:to>
      <xdr:col>16</xdr:col>
      <xdr:colOff>495300</xdr:colOff>
      <xdr:row>45</xdr:row>
      <xdr:rowOff>58510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EBBABB-3CF2-4A7E-B4EC-2D6442B52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693964</xdr:colOff>
      <xdr:row>34</xdr:row>
      <xdr:rowOff>40821</xdr:rowOff>
    </xdr:from>
    <xdr:to>
      <xdr:col>18</xdr:col>
      <xdr:colOff>408216</xdr:colOff>
      <xdr:row>48</xdr:row>
      <xdr:rowOff>117021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95B39D8C-233E-42AA-B7D9-45470981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285749</xdr:colOff>
      <xdr:row>6</xdr:row>
      <xdr:rowOff>23131</xdr:rowOff>
    </xdr:from>
    <xdr:to>
      <xdr:col>21</xdr:col>
      <xdr:colOff>0</xdr:colOff>
      <xdr:row>25</xdr:row>
      <xdr:rowOff>99331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CD3159C6-7FFF-4CC6-8BD8-D12FC659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71438</xdr:rowOff>
    </xdr:from>
    <xdr:to>
      <xdr:col>42</xdr:col>
      <xdr:colOff>0</xdr:colOff>
      <xdr:row>29</xdr:row>
      <xdr:rowOff>23813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71438"/>
          <a:ext cx="27836813" cy="1269206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2</xdr:col>
      <xdr:colOff>361950</xdr:colOff>
      <xdr:row>0</xdr:row>
      <xdr:rowOff>400050</xdr:rowOff>
    </xdr:from>
    <xdr:ext cx="26117550" cy="79273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A62AAABA-93EE-457F-B8B5-B87856313656}"/>
            </a:ext>
          </a:extLst>
        </xdr:cNvPr>
        <xdr:cNvSpPr txBox="1"/>
      </xdr:nvSpPr>
      <xdr:spPr>
        <a:xfrm>
          <a:off x="1457325" y="400050"/>
          <a:ext cx="26117550" cy="792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ru-RU" sz="3200" b="1" spc="-100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БЮДЖЕТ МУНИЦИПАЛЬНОГО</a:t>
          </a:r>
          <a:r>
            <a:rPr lang="ru-RU" sz="3200" b="1" spc="-100" baseline="0"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ОБРАЗОВАНИЯ "МУНИЦИПАЛЬНЫЙ ОКРУГ МАЛОПУРГИНСКИЙ РАЙОН УДМУРТСКОЙ РЕСПУБЛИКИ"</a:t>
          </a:r>
          <a:endParaRPr lang="ru-RU" sz="3200" b="1" spc="-100"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16</xdr:col>
      <xdr:colOff>472289</xdr:colOff>
      <xdr:row>0</xdr:row>
      <xdr:rowOff>1238248</xdr:rowOff>
    </xdr:from>
    <xdr:to>
      <xdr:col>35</xdr:col>
      <xdr:colOff>166686</xdr:colOff>
      <xdr:row>0</xdr:row>
      <xdr:rowOff>2619376</xdr:rowOff>
    </xdr:to>
    <xdr:grpSp>
      <xdr:nvGrpSpPr>
        <xdr:cNvPr id="14" name="Группа 13">
          <a:extLst>
            <a:ext uri="{FF2B5EF4-FFF2-40B4-BE49-F238E27FC236}">
              <a16:creationId xmlns:a16="http://schemas.microsoft.com/office/drawing/2014/main" xmlns="" id="{118B4450-4EEB-4FFE-9841-80AAA4203AD6}"/>
            </a:ext>
          </a:extLst>
        </xdr:cNvPr>
        <xdr:cNvGrpSpPr/>
      </xdr:nvGrpSpPr>
      <xdr:grpSpPr>
        <a:xfrm>
          <a:off x="10235414" y="1238248"/>
          <a:ext cx="12743647" cy="1381128"/>
          <a:chOff x="7885339" y="2118189"/>
          <a:chExt cx="10156819" cy="897710"/>
        </a:xfrm>
        <a:solidFill>
          <a:srgbClr val="FFC1C2"/>
        </a:solidFill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</xdr:grpSpPr>
      <xdr:grpSp>
        <xdr:nvGrpSpPr>
          <xdr:cNvPr id="13" name="Группа 12">
            <a:extLst>
              <a:ext uri="{FF2B5EF4-FFF2-40B4-BE49-F238E27FC236}">
                <a16:creationId xmlns:a16="http://schemas.microsoft.com/office/drawing/2014/main" xmlns="" id="{EDB63272-C683-4BDB-843E-2314681748C2}"/>
              </a:ext>
            </a:extLst>
          </xdr:cNvPr>
          <xdr:cNvGrpSpPr/>
        </xdr:nvGrpSpPr>
        <xdr:grpSpPr>
          <a:xfrm>
            <a:off x="7885339" y="2118189"/>
            <a:ext cx="10156819" cy="897710"/>
            <a:chOff x="-1891600" y="2472700"/>
            <a:chExt cx="10256512" cy="897710"/>
          </a:xfrm>
          <a:grpFill/>
        </xdr:grpSpPr>
        <xdr:sp macro="" textlink="">
          <xdr:nvSpPr>
            <xdr:cNvPr id="28" name="Прямоугольник 27">
              <a:extLst>
                <a:ext uri="{FF2B5EF4-FFF2-40B4-BE49-F238E27FC236}">
                  <a16:creationId xmlns:a16="http://schemas.microsoft.com/office/drawing/2014/main" xmlns="" id="{5B7D444E-22C2-42D9-8A1D-103253A68179}"/>
                </a:ext>
              </a:extLst>
            </xdr:cNvPr>
            <xdr:cNvSpPr/>
          </xdr:nvSpPr>
          <xdr:spPr>
            <a:xfrm>
              <a:off x="5498695" y="2550089"/>
              <a:ext cx="2857933" cy="820321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2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" name="Прямоугольник 3">
              <a:extLst>
                <a:ext uri="{FF2B5EF4-FFF2-40B4-BE49-F238E27FC236}">
                  <a16:creationId xmlns:a16="http://schemas.microsoft.com/office/drawing/2014/main" xmlns="" id="{CF04E373-EBD5-4F51-9F32-F9B8C392033C}"/>
                </a:ext>
              </a:extLst>
            </xdr:cNvPr>
            <xdr:cNvSpPr/>
          </xdr:nvSpPr>
          <xdr:spPr>
            <a:xfrm>
              <a:off x="2042338" y="2658434"/>
              <a:ext cx="2857933" cy="696497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2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1" name="Прямоугольник 10">
              <a:extLst>
                <a:ext uri="{FF2B5EF4-FFF2-40B4-BE49-F238E27FC236}">
                  <a16:creationId xmlns:a16="http://schemas.microsoft.com/office/drawing/2014/main" xmlns="" id="{0163C823-A122-4A90-9230-CC968954BB1F}"/>
                </a:ext>
              </a:extLst>
            </xdr:cNvPr>
            <xdr:cNvSpPr/>
          </xdr:nvSpPr>
          <xdr:spPr>
            <a:xfrm>
              <a:off x="2042337" y="2472701"/>
              <a:ext cx="2865260" cy="246669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ru-RU" sz="1800" b="1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ДОХОДЫ</a:t>
              </a:r>
            </a:p>
          </xdr:txBody>
        </xdr:sp>
        <xdr:sp macro="" textlink="'доход и расход'!H5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5060CDAA-3611-4A1C-95A4-1E637690AD9D}"/>
                </a:ext>
              </a:extLst>
            </xdr:cNvPr>
            <xdr:cNvSpPr txBox="1"/>
          </xdr:nvSpPr>
          <xdr:spPr>
            <a:xfrm>
              <a:off x="2661495" y="2775567"/>
              <a:ext cx="1238250" cy="328373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fld id="{D62B7821-8660-4BC4-AC4A-35D4DD3C0428}" type="TxLink">
                <a:rPr lang="en-US" sz="2800" b="0" i="1" u="none" strike="noStrike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ctr"/>
                <a:t>1 191,6</a:t>
              </a:fld>
              <a:endParaRPr lang="ru-RU" sz="2800" b="0" i="1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'доход и расход'!H6">
          <xdr:nvSpPr>
            <xdr:cNvPr id="20" name="TextBox 19">
              <a:extLst>
                <a:ext uri="{FF2B5EF4-FFF2-40B4-BE49-F238E27FC236}">
                  <a16:creationId xmlns:a16="http://schemas.microsoft.com/office/drawing/2014/main" xmlns="" id="{28B9B72D-A473-4E4C-B049-AFC7E9BF1B1B}"/>
                </a:ext>
              </a:extLst>
            </xdr:cNvPr>
            <xdr:cNvSpPr txBox="1"/>
          </xdr:nvSpPr>
          <xdr:spPr>
            <a:xfrm>
              <a:off x="6322590" y="2770808"/>
              <a:ext cx="1238250" cy="328373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fld id="{561ED0BF-46B9-43EF-8463-F90E7D32BB4A}" type="TxLink">
                <a:rPr lang="en-US" sz="2800" b="0" i="1" u="none" strike="noStrike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ctr"/>
                <a:t>1 191,6</a:t>
              </a:fld>
              <a:endParaRPr lang="ru-RU" sz="2800" b="0" i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xmlns="" id="{77BCE5F3-BB4F-4C63-AC6B-CD77FCD6A0E0}"/>
                </a:ext>
              </a:extLst>
            </xdr:cNvPr>
            <xdr:cNvSpPr txBox="1"/>
          </xdr:nvSpPr>
          <xdr:spPr>
            <a:xfrm>
              <a:off x="2634595" y="3129321"/>
              <a:ext cx="1102446" cy="218754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ctr"/>
              <a:r>
                <a:rPr lang="ru-RU" sz="1800" b="0" i="1" spc="1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млн. руб.</a:t>
              </a:r>
            </a:p>
          </xdr:txBody>
        </xdr:sp>
        <xdr:sp macro="" textlink="">
          <xdr:nvSpPr>
            <xdr:cNvPr id="29" name="Прямоугольник 28">
              <a:extLst>
                <a:ext uri="{FF2B5EF4-FFF2-40B4-BE49-F238E27FC236}">
                  <a16:creationId xmlns:a16="http://schemas.microsoft.com/office/drawing/2014/main" xmlns="" id="{FE4B1BA2-6349-4447-BB4A-12528C72D133}"/>
                </a:ext>
              </a:extLst>
            </xdr:cNvPr>
            <xdr:cNvSpPr/>
          </xdr:nvSpPr>
          <xdr:spPr>
            <a:xfrm>
              <a:off x="5499652" y="2472701"/>
              <a:ext cx="2865260" cy="293102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ru-RU" sz="1800" b="1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РАСХОДЫ</a:t>
              </a:r>
            </a:p>
          </xdr:txBody>
        </xdr: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xmlns="" id="{AB1EC5FE-9EEF-46BC-8E16-981ED42536E9}"/>
                </a:ext>
              </a:extLst>
            </xdr:cNvPr>
            <xdr:cNvSpPr txBox="1"/>
          </xdr:nvSpPr>
          <xdr:spPr>
            <a:xfrm>
              <a:off x="6471016" y="3106768"/>
              <a:ext cx="941397" cy="232557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lang="ru-RU" sz="1800" b="0" i="1" spc="1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млн. руб.</a:t>
              </a:r>
            </a:p>
          </xdr:txBody>
        </xdr:sp>
        <xdr:sp macro="" textlink="">
          <xdr:nvSpPr>
            <xdr:cNvPr id="41" name="Прямоугольник 40">
              <a:extLst>
                <a:ext uri="{FF2B5EF4-FFF2-40B4-BE49-F238E27FC236}">
                  <a16:creationId xmlns:a16="http://schemas.microsoft.com/office/drawing/2014/main" xmlns="" id="{720E10CF-76B8-48D0-8D53-8D3D3F577D13}"/>
                </a:ext>
              </a:extLst>
            </xdr:cNvPr>
            <xdr:cNvSpPr/>
          </xdr:nvSpPr>
          <xdr:spPr>
            <a:xfrm>
              <a:off x="-1891600" y="2564504"/>
              <a:ext cx="3402786" cy="805906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200" b="0"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42" name="Прямоугольник 41">
              <a:extLst>
                <a:ext uri="{FF2B5EF4-FFF2-40B4-BE49-F238E27FC236}">
                  <a16:creationId xmlns:a16="http://schemas.microsoft.com/office/drawing/2014/main" xmlns="" id="{DCADD57D-BF96-4551-B356-A0497FF92145}"/>
                </a:ext>
              </a:extLst>
            </xdr:cNvPr>
            <xdr:cNvSpPr/>
          </xdr:nvSpPr>
          <xdr:spPr>
            <a:xfrm>
              <a:off x="-1891600" y="2472700"/>
              <a:ext cx="3402786" cy="355989"/>
            </a:xfrm>
            <a:prstGeom prst="rect">
              <a:avLst/>
            </a:prstGeom>
            <a:grpFill/>
            <a:ln>
              <a:noFill/>
            </a:ln>
            <a:effectLst>
              <a:outerShdw blurRad="149987" dist="250190" dir="8460000" algn="ctr">
                <a:srgbClr val="000000">
                  <a:alpha val="28000"/>
                </a:srgbClr>
              </a:outerShdw>
            </a:effectLst>
            <a:sp3d prstMaterial="metal">
              <a:bevelT w="88900" h="889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ru-RU" sz="1800" b="1" i="0">
                  <a:solidFill>
                    <a:srgbClr val="060345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ЧИСЛЕННОСТЬ</a:t>
              </a:r>
              <a:r>
                <a:rPr lang="ru-RU" sz="1800" b="1" i="0" baseline="0">
                  <a:solidFill>
                    <a:srgbClr val="060345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 НАСЕЛЕНИЯ</a:t>
              </a:r>
              <a:endParaRPr lang="ru-RU" sz="1800" b="1" i="0">
                <a:solidFill>
                  <a:srgbClr val="060345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численность!B4">
        <xdr:nvSpPr>
          <xdr:cNvPr id="2" name="TextBox 1">
            <a:extLst>
              <a:ext uri="{FF2B5EF4-FFF2-40B4-BE49-F238E27FC236}">
                <a16:creationId xmlns:a16="http://schemas.microsoft.com/office/drawing/2014/main" xmlns="" id="{AD7AF87E-4A98-4F54-8D5B-A34F36CE32FC}"/>
              </a:ext>
            </a:extLst>
          </xdr:cNvPr>
          <xdr:cNvSpPr txBox="1"/>
        </xdr:nvSpPr>
        <xdr:spPr>
          <a:xfrm>
            <a:off x="8753621" y="2437231"/>
            <a:ext cx="1664348" cy="287681"/>
          </a:xfrm>
          <a:prstGeom prst="rect">
            <a:avLst/>
          </a:prstGeom>
          <a:grp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  <a:sp3d prstMaterial="metal">
            <a:bevelT w="88900" h="889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fld id="{DCBDF38C-2C70-4614-B838-F36622FBD628}" type="TxLink">
              <a:rPr lang="en-US" sz="2800" b="0" i="1" u="none" strike="noStrike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pPr algn="ctr"/>
              <a:t>31 253</a:t>
            </a:fld>
            <a:endParaRPr lang="ru-RU" sz="2800" b="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xmlns="" id="{EDDADEF5-6677-4F83-914D-F4023A393393}"/>
              </a:ext>
            </a:extLst>
          </xdr:cNvPr>
          <xdr:cNvSpPr txBox="1"/>
        </xdr:nvSpPr>
        <xdr:spPr>
          <a:xfrm>
            <a:off x="8936492" y="2708927"/>
            <a:ext cx="1124016" cy="252604"/>
          </a:xfrm>
          <a:prstGeom prst="rect">
            <a:avLst/>
          </a:prstGeom>
          <a:grpFill/>
          <a:ln>
            <a:noFill/>
          </a:ln>
          <a:effectLst>
            <a:outerShdw blurRad="149987" dist="250190" dir="8460000" algn="ctr">
              <a:srgbClr val="000000">
                <a:alpha val="28000"/>
              </a:srgbClr>
            </a:outerShdw>
          </a:effectLst>
          <a:sp3d prstMaterial="metal">
            <a:bevelT w="88900" h="889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r"/>
            <a:r>
              <a:rPr lang="ru-RU" sz="1800" b="0" i="1" spc="1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человек</a:t>
            </a:r>
          </a:p>
        </xdr:txBody>
      </xdr:sp>
    </xdr:grpSp>
    <xdr:clientData/>
  </xdr:twoCellAnchor>
  <xdr:twoCellAnchor editAs="absolute">
    <xdr:from>
      <xdr:col>1</xdr:col>
      <xdr:colOff>157596</xdr:colOff>
      <xdr:row>0</xdr:row>
      <xdr:rowOff>1165004</xdr:rowOff>
    </xdr:from>
    <xdr:to>
      <xdr:col>10</xdr:col>
      <xdr:colOff>54553</xdr:colOff>
      <xdr:row>0</xdr:row>
      <xdr:rowOff>1476500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904581F9-DD67-4953-9279-798A63835D32}"/>
            </a:ext>
          </a:extLst>
        </xdr:cNvPr>
        <xdr:cNvSpPr txBox="1"/>
      </xdr:nvSpPr>
      <xdr:spPr>
        <a:xfrm>
          <a:off x="1004455" y="1163272"/>
          <a:ext cx="505690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ru-RU" sz="1400" b="0" i="0">
            <a:solidFill>
              <a:srgbClr val="00206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173182</xdr:colOff>
      <xdr:row>46</xdr:row>
      <xdr:rowOff>34637</xdr:rowOff>
    </xdr:from>
    <xdr:ext cx="23085136" cy="342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9AE3006E-4F04-4183-8AA5-4DC74965FA7C}"/>
            </a:ext>
          </a:extLst>
        </xdr:cNvPr>
        <xdr:cNvSpPr txBox="1"/>
      </xdr:nvSpPr>
      <xdr:spPr>
        <a:xfrm>
          <a:off x="1049482" y="12969587"/>
          <a:ext cx="2308513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600">
            <a:solidFill>
              <a:srgbClr val="002060"/>
            </a:solidFill>
          </a:endParaRPr>
        </a:p>
      </xdr:txBody>
    </xdr:sp>
    <xdr:clientData/>
  </xdr:oneCellAnchor>
  <xdr:twoCellAnchor>
    <xdr:from>
      <xdr:col>0</xdr:col>
      <xdr:colOff>0</xdr:colOff>
      <xdr:row>8</xdr:row>
      <xdr:rowOff>95250</xdr:rowOff>
    </xdr:from>
    <xdr:to>
      <xdr:col>41</xdr:col>
      <xdr:colOff>375644</xdr:colOff>
      <xdr:row>30</xdr:row>
      <xdr:rowOff>195938</xdr:rowOff>
    </xdr:to>
    <xdr:grpSp>
      <xdr:nvGrpSpPr>
        <xdr:cNvPr id="100" name="Группа 99">
          <a:extLst>
            <a:ext uri="{FF2B5EF4-FFF2-40B4-BE49-F238E27FC236}">
              <a16:creationId xmlns:a16="http://schemas.microsoft.com/office/drawing/2014/main" xmlns="" id="{640F2711-7D2E-4856-8256-9DE406576A43}"/>
            </a:ext>
          </a:extLst>
        </xdr:cNvPr>
        <xdr:cNvGrpSpPr/>
      </xdr:nvGrpSpPr>
      <xdr:grpSpPr>
        <a:xfrm>
          <a:off x="0" y="7929563"/>
          <a:ext cx="27974332" cy="5053688"/>
          <a:chOff x="-142839" y="1701586"/>
          <a:chExt cx="26527831" cy="3870524"/>
        </a:xfrm>
      </xdr:grpSpPr>
      <xdr:grpSp>
        <xdr:nvGrpSpPr>
          <xdr:cNvPr id="98" name="Группа 97">
            <a:extLst>
              <a:ext uri="{FF2B5EF4-FFF2-40B4-BE49-F238E27FC236}">
                <a16:creationId xmlns:a16="http://schemas.microsoft.com/office/drawing/2014/main" xmlns="" id="{F53E632C-17C3-4E2A-BB65-CCB6AE73D9B4}"/>
              </a:ext>
            </a:extLst>
          </xdr:cNvPr>
          <xdr:cNvGrpSpPr/>
        </xdr:nvGrpSpPr>
        <xdr:grpSpPr>
          <a:xfrm>
            <a:off x="8482723" y="1718532"/>
            <a:ext cx="9159343" cy="3561801"/>
            <a:chOff x="8482723" y="1718532"/>
            <a:chExt cx="9159343" cy="3561801"/>
          </a:xfrm>
        </xdr:grpSpPr>
        <xdr:sp macro="" textlink="">
          <xdr:nvSpPr>
            <xdr:cNvPr id="37" name="Прямоугольник 36">
              <a:extLst>
                <a:ext uri="{FF2B5EF4-FFF2-40B4-BE49-F238E27FC236}">
                  <a16:creationId xmlns:a16="http://schemas.microsoft.com/office/drawing/2014/main" xmlns="" id="{4C013F22-DD32-41DB-8994-97D9A78AAF9D}"/>
                </a:ext>
              </a:extLst>
            </xdr:cNvPr>
            <xdr:cNvSpPr/>
          </xdr:nvSpPr>
          <xdr:spPr>
            <a:xfrm>
              <a:off x="8561235" y="2281675"/>
              <a:ext cx="8712000" cy="2993218"/>
            </a:xfrm>
            <a:prstGeom prst="rect">
              <a:avLst/>
            </a:prstGeom>
            <a:solidFill>
              <a:schemeClr val="accent5">
                <a:lumMod val="75000"/>
              </a:schemeClr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400"/>
            </a:p>
          </xdr:txBody>
        </xdr:sp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xmlns="" id="{FF204656-801F-4D9F-A4F1-2D89AB13E70D}"/>
                </a:ext>
              </a:extLst>
            </xdr:cNvPr>
            <xdr:cNvSpPr txBox="1"/>
          </xdr:nvSpPr>
          <xdr:spPr>
            <a:xfrm>
              <a:off x="15827616" y="2627972"/>
              <a:ext cx="1814450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2000" spc="0" baseline="0">
                  <a:solidFill>
                    <a:schemeClr val="accent5">
                      <a:lumMod val="60000"/>
                      <a:lumOff val="40000"/>
                    </a:schemeClr>
                  </a:solidFill>
                </a:rPr>
                <a:t>* тыс. руб.</a:t>
              </a:r>
            </a:p>
          </xdr:txBody>
        </xdr:sp>
        <xdr:graphicFrame macro="">
          <xdr:nvGraphicFramePr>
            <xdr:cNvPr id="24" name="Диаграмма 23">
              <a:extLst>
                <a:ext uri="{FF2B5EF4-FFF2-40B4-BE49-F238E27FC236}">
                  <a16:creationId xmlns:a16="http://schemas.microsoft.com/office/drawing/2014/main" xmlns="" id="{747D0893-9F78-4C24-87D0-4EAF6EE8DC77}"/>
                </a:ext>
              </a:extLst>
            </xdr:cNvPr>
            <xdr:cNvGraphicFramePr>
              <a:graphicFrameLocks/>
            </xdr:cNvGraphicFramePr>
          </xdr:nvGraphicFramePr>
          <xdr:xfrm>
            <a:off x="8482723" y="1720194"/>
            <a:ext cx="8809425" cy="356013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xmlns="" id="{7AC894E1-8020-4A0C-8FE1-E88B4300EAE5}"/>
                </a:ext>
              </a:extLst>
            </xdr:cNvPr>
            <xdr:cNvSpPr txBox="1"/>
          </xdr:nvSpPr>
          <xdr:spPr>
            <a:xfrm>
              <a:off x="9709645" y="1718532"/>
              <a:ext cx="5763562" cy="4555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r"/>
              <a:r>
                <a:rPr lang="ru-RU" sz="2400" b="1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НАЛОГОВЫЕ ДОХОДЫ</a:t>
              </a:r>
            </a:p>
          </xdr:txBody>
        </xdr:sp>
        <xdr:grpSp>
          <xdr:nvGrpSpPr>
            <xdr:cNvPr id="84" name="Группа 83">
              <a:extLst>
                <a:ext uri="{FF2B5EF4-FFF2-40B4-BE49-F238E27FC236}">
                  <a16:creationId xmlns:a16="http://schemas.microsoft.com/office/drawing/2014/main" xmlns="" id="{A2B3D1AA-7BA7-4BC1-BA39-D68E3EAC0FEE}"/>
                </a:ext>
              </a:extLst>
            </xdr:cNvPr>
            <xdr:cNvGrpSpPr/>
          </xdr:nvGrpSpPr>
          <xdr:grpSpPr>
            <a:xfrm>
              <a:off x="13126255" y="2207878"/>
              <a:ext cx="3480335" cy="2322328"/>
              <a:chOff x="13197072" y="2202683"/>
              <a:chExt cx="3486347" cy="2322328"/>
            </a:xfrm>
          </xdr:grpSpPr>
          <xdr:sp macro="" textlink="доходы!L16">
            <xdr:nvSpPr>
              <xdr:cNvPr id="53" name="TextBox 52">
                <a:extLst>
                  <a:ext uri="{FF2B5EF4-FFF2-40B4-BE49-F238E27FC236}">
                    <a16:creationId xmlns:a16="http://schemas.microsoft.com/office/drawing/2014/main" xmlns="" id="{210CCC86-CC84-4303-9DBA-0D98760CA5EB}"/>
                  </a:ext>
                </a:extLst>
              </xdr:cNvPr>
              <xdr:cNvSpPr txBox="1"/>
            </xdr:nvSpPr>
            <xdr:spPr>
              <a:xfrm>
                <a:off x="15814871" y="3067997"/>
                <a:ext cx="868548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algn="r"/>
                <a:fld id="{9C9ECBE6-4C1E-49E7-AC1C-0DA7DCB5D8B4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1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15">
            <xdr:nvSpPr>
              <xdr:cNvPr id="57" name="TextBox 56">
                <a:extLst>
                  <a:ext uri="{FF2B5EF4-FFF2-40B4-BE49-F238E27FC236}">
                    <a16:creationId xmlns:a16="http://schemas.microsoft.com/office/drawing/2014/main" xmlns="" id="{AE924259-0F24-467D-9296-711D05CDB414}"/>
                  </a:ext>
                </a:extLst>
              </xdr:cNvPr>
              <xdr:cNvSpPr txBox="1"/>
            </xdr:nvSpPr>
            <xdr:spPr>
              <a:xfrm>
                <a:off x="13896974" y="2635162"/>
                <a:ext cx="613969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F9FEFCA5-4295-47C4-89B5-3783A6FA5F3A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/>
                  <a:t>2 520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14">
            <xdr:nvSpPr>
              <xdr:cNvPr id="58" name="TextBox 57">
                <a:extLst>
                  <a:ext uri="{FF2B5EF4-FFF2-40B4-BE49-F238E27FC236}">
                    <a16:creationId xmlns:a16="http://schemas.microsoft.com/office/drawing/2014/main" xmlns="" id="{BF8B4E9A-1CD4-4183-85EE-775AA07BCFED}"/>
                  </a:ext>
                </a:extLst>
              </xdr:cNvPr>
              <xdr:cNvSpPr txBox="1"/>
            </xdr:nvSpPr>
            <xdr:spPr>
              <a:xfrm>
                <a:off x="13533650" y="2202683"/>
                <a:ext cx="711424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2D443838-EFFB-4838-9C15-C3ED30963DE9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/>
                  <a:t>40 337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17">
            <xdr:nvSpPr>
              <xdr:cNvPr id="59" name="TextBox 58">
                <a:extLst>
                  <a:ext uri="{FF2B5EF4-FFF2-40B4-BE49-F238E27FC236}">
                    <a16:creationId xmlns:a16="http://schemas.microsoft.com/office/drawing/2014/main" xmlns="" id="{9DB4E1FE-51A2-4E44-AD30-919E4005BF4B}"/>
                  </a:ext>
                </a:extLst>
              </xdr:cNvPr>
              <xdr:cNvSpPr txBox="1"/>
            </xdr:nvSpPr>
            <xdr:spPr>
              <a:xfrm>
                <a:off x="14736972" y="3496066"/>
                <a:ext cx="711424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71FBA3EA-C705-4644-9CD4-AE3666EC5A24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/>
                  <a:t>29 900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18">
            <xdr:nvSpPr>
              <xdr:cNvPr id="60" name="TextBox 59">
                <a:extLst>
                  <a:ext uri="{FF2B5EF4-FFF2-40B4-BE49-F238E27FC236}">
                    <a16:creationId xmlns:a16="http://schemas.microsoft.com/office/drawing/2014/main" xmlns="" id="{C586D20A-3DD1-4D25-BCA4-82AB02530081}"/>
                  </a:ext>
                </a:extLst>
              </xdr:cNvPr>
              <xdr:cNvSpPr txBox="1"/>
            </xdr:nvSpPr>
            <xdr:spPr>
              <a:xfrm>
                <a:off x="15297648" y="3877963"/>
                <a:ext cx="711424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r"/>
                <a:fld id="{2076A98F-74F5-403E-82A0-7EB872F4AE4F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11 400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19">
            <xdr:nvSpPr>
              <xdr:cNvPr id="61" name="TextBox 60">
                <a:extLst>
                  <a:ext uri="{FF2B5EF4-FFF2-40B4-BE49-F238E27FC236}">
                    <a16:creationId xmlns:a16="http://schemas.microsoft.com/office/drawing/2014/main" xmlns="" id="{DC1EBC5B-5E16-4523-ADE9-CB2F8CE93C9F}"/>
                  </a:ext>
                </a:extLst>
              </xdr:cNvPr>
              <xdr:cNvSpPr txBox="1"/>
            </xdr:nvSpPr>
            <xdr:spPr>
              <a:xfrm>
                <a:off x="13197072" y="4273576"/>
                <a:ext cx="808880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fld id="{3CEA8943-9FE5-43E1-8C90-D412FFED76BD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/>
                  <a:t>256 000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</xdr:grpSp>
      <xdr:grpSp>
        <xdr:nvGrpSpPr>
          <xdr:cNvPr id="99" name="Группа 98">
            <a:extLst>
              <a:ext uri="{FF2B5EF4-FFF2-40B4-BE49-F238E27FC236}">
                <a16:creationId xmlns:a16="http://schemas.microsoft.com/office/drawing/2014/main" xmlns="" id="{B7779351-F02A-4516-B1D2-84D682C5923B}"/>
              </a:ext>
            </a:extLst>
          </xdr:cNvPr>
          <xdr:cNvGrpSpPr/>
        </xdr:nvGrpSpPr>
        <xdr:grpSpPr>
          <a:xfrm>
            <a:off x="17445345" y="1720196"/>
            <a:ext cx="8939647" cy="3554697"/>
            <a:chOff x="17445345" y="1720196"/>
            <a:chExt cx="8939647" cy="3554697"/>
          </a:xfrm>
        </xdr:grpSpPr>
        <xdr:sp macro="" textlink="">
          <xdr:nvSpPr>
            <xdr:cNvPr id="39" name="Прямоугольник 38">
              <a:extLst>
                <a:ext uri="{FF2B5EF4-FFF2-40B4-BE49-F238E27FC236}">
                  <a16:creationId xmlns:a16="http://schemas.microsoft.com/office/drawing/2014/main" xmlns="" id="{B18A65F6-62BC-46DD-B1AF-E4C34FC639E0}"/>
                </a:ext>
              </a:extLst>
            </xdr:cNvPr>
            <xdr:cNvSpPr/>
          </xdr:nvSpPr>
          <xdr:spPr>
            <a:xfrm>
              <a:off x="17458027" y="2281675"/>
              <a:ext cx="8831680" cy="2993218"/>
            </a:xfrm>
            <a:prstGeom prst="rect">
              <a:avLst/>
            </a:prstGeom>
            <a:solidFill>
              <a:srgbClr val="FACACA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400"/>
            </a:p>
          </xdr:txBody>
        </xdr:sp>
        <xdr:graphicFrame macro="">
          <xdr:nvGraphicFramePr>
            <xdr:cNvPr id="32" name="Диаграмма 31">
              <a:extLst>
                <a:ext uri="{FF2B5EF4-FFF2-40B4-BE49-F238E27FC236}">
                  <a16:creationId xmlns:a16="http://schemas.microsoft.com/office/drawing/2014/main" xmlns="" id="{C3DDE0D3-3C51-457F-9BFE-7FEDE705DCA4}"/>
                </a:ext>
              </a:extLst>
            </xdr:cNvPr>
            <xdr:cNvGraphicFramePr>
              <a:graphicFrameLocks/>
            </xdr:cNvGraphicFramePr>
          </xdr:nvGraphicFramePr>
          <xdr:xfrm>
            <a:off x="17445345" y="1720196"/>
            <a:ext cx="8840674" cy="33817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xmlns="" id="{227C0993-5078-4B2E-961A-647C69EFF21C}"/>
                </a:ext>
              </a:extLst>
            </xdr:cNvPr>
            <xdr:cNvSpPr txBox="1"/>
          </xdr:nvSpPr>
          <xdr:spPr>
            <a:xfrm>
              <a:off x="24698659" y="2171861"/>
              <a:ext cx="1686333" cy="3214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ru-RU" sz="2000" spc="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* тыс. руб</a:t>
              </a:r>
              <a:r>
                <a:rPr lang="ru-RU" sz="2000" spc="0" baseline="0">
                  <a:solidFill>
                    <a:schemeClr val="accent5">
                      <a:lumMod val="60000"/>
                      <a:lumOff val="40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.</a:t>
              </a:r>
            </a:p>
          </xdr:txBody>
        </xdr:sp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xmlns="" id="{B8955D9B-DCBB-4B87-ADD5-9B01575DAD91}"/>
                </a:ext>
              </a:extLst>
            </xdr:cNvPr>
            <xdr:cNvSpPr txBox="1"/>
          </xdr:nvSpPr>
          <xdr:spPr>
            <a:xfrm>
              <a:off x="19052804" y="1819381"/>
              <a:ext cx="5763562" cy="446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ru-RU" sz="2400" b="1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НЕНАЛОГОВЫЕ ДОХОДЫ</a:t>
              </a:r>
            </a:p>
          </xdr:txBody>
        </xdr:sp>
        <xdr:grpSp>
          <xdr:nvGrpSpPr>
            <xdr:cNvPr id="83" name="Группа 82">
              <a:extLst>
                <a:ext uri="{FF2B5EF4-FFF2-40B4-BE49-F238E27FC236}">
                  <a16:creationId xmlns:a16="http://schemas.microsoft.com/office/drawing/2014/main" xmlns="" id="{9EA6BDCA-9B7E-45A3-83C8-B16F5E58AE08}"/>
                </a:ext>
              </a:extLst>
            </xdr:cNvPr>
            <xdr:cNvGrpSpPr/>
          </xdr:nvGrpSpPr>
          <xdr:grpSpPr>
            <a:xfrm>
              <a:off x="23544964" y="2535761"/>
              <a:ext cx="2604365" cy="2300406"/>
              <a:chOff x="23657225" y="2484341"/>
              <a:chExt cx="2613864" cy="2300406"/>
            </a:xfrm>
          </xdr:grpSpPr>
          <xdr:sp macro="" textlink="доходы!L23">
            <xdr:nvSpPr>
              <xdr:cNvPr id="62" name="TextBox 61">
                <a:extLst>
                  <a:ext uri="{FF2B5EF4-FFF2-40B4-BE49-F238E27FC236}">
                    <a16:creationId xmlns:a16="http://schemas.microsoft.com/office/drawing/2014/main" xmlns="" id="{A1A6081C-7AC4-42DB-81A4-644FAC4DFB88}"/>
                  </a:ext>
                </a:extLst>
              </xdr:cNvPr>
              <xdr:cNvSpPr txBox="1"/>
            </xdr:nvSpPr>
            <xdr:spPr>
              <a:xfrm>
                <a:off x="24162789" y="2484341"/>
                <a:ext cx="615146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r"/>
                <a:fld id="{16EBC35F-411C-4330-A975-BAB7C2AD47A8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8 056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24">
            <xdr:nvSpPr>
              <xdr:cNvPr id="63" name="TextBox 62">
                <a:extLst>
                  <a:ext uri="{FF2B5EF4-FFF2-40B4-BE49-F238E27FC236}">
                    <a16:creationId xmlns:a16="http://schemas.microsoft.com/office/drawing/2014/main" xmlns="" id="{4FDC59B1-9201-4B57-A822-EDF59B12F415}"/>
                  </a:ext>
                </a:extLst>
              </xdr:cNvPr>
              <xdr:cNvSpPr txBox="1"/>
            </xdr:nvSpPr>
            <xdr:spPr>
              <a:xfrm>
                <a:off x="24520752" y="2870081"/>
                <a:ext cx="1186744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algn="r"/>
                <a:fld id="{73AD5104-4308-4A32-AE3B-70FD2FD452DD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114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25">
            <xdr:nvSpPr>
              <xdr:cNvPr id="64" name="TextBox 63">
                <a:extLst>
                  <a:ext uri="{FF2B5EF4-FFF2-40B4-BE49-F238E27FC236}">
                    <a16:creationId xmlns:a16="http://schemas.microsoft.com/office/drawing/2014/main" xmlns="" id="{E432BCE9-1560-4787-9E5C-8627710B5DA5}"/>
                  </a:ext>
                </a:extLst>
              </xdr:cNvPr>
              <xdr:cNvSpPr txBox="1"/>
            </xdr:nvSpPr>
            <xdr:spPr>
              <a:xfrm>
                <a:off x="24029054" y="3303832"/>
                <a:ext cx="615146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r"/>
                <a:fld id="{41E0A79D-3AF6-4FDA-804C-2138087B7EE1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7 000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26">
            <xdr:nvSpPr>
              <xdr:cNvPr id="65" name="TextBox 64">
                <a:extLst>
                  <a:ext uri="{FF2B5EF4-FFF2-40B4-BE49-F238E27FC236}">
                    <a16:creationId xmlns:a16="http://schemas.microsoft.com/office/drawing/2014/main" xmlns="" id="{A1ABF27C-308A-4117-8A31-7A33EAD66A4F}"/>
                  </a:ext>
                </a:extLst>
              </xdr:cNvPr>
              <xdr:cNvSpPr txBox="1"/>
            </xdr:nvSpPr>
            <xdr:spPr>
              <a:xfrm>
                <a:off x="25254852" y="3680823"/>
                <a:ext cx="1016237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algn="r"/>
                <a:fld id="{C244E147-EFE1-48EC-80AA-633351CF8A8A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279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27">
            <xdr:nvSpPr>
              <xdr:cNvPr id="66" name="TextBox 65">
                <a:extLst>
                  <a:ext uri="{FF2B5EF4-FFF2-40B4-BE49-F238E27FC236}">
                    <a16:creationId xmlns:a16="http://schemas.microsoft.com/office/drawing/2014/main" xmlns="" id="{6E08D85E-6549-4CC9-8B63-38DE24E6E506}"/>
                  </a:ext>
                </a:extLst>
              </xdr:cNvPr>
              <xdr:cNvSpPr txBox="1"/>
            </xdr:nvSpPr>
            <xdr:spPr>
              <a:xfrm>
                <a:off x="24926977" y="4533312"/>
                <a:ext cx="339235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algn="r"/>
                <a:fld id="{4A88C90B-E7E2-4FA4-9159-E08CB8F0190D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  <xdr:sp macro="" textlink="доходы!L28">
            <xdr:nvSpPr>
              <xdr:cNvPr id="67" name="TextBox 66">
                <a:extLst>
                  <a:ext uri="{FF2B5EF4-FFF2-40B4-BE49-F238E27FC236}">
                    <a16:creationId xmlns:a16="http://schemas.microsoft.com/office/drawing/2014/main" xmlns="" id="{39352B6D-EFD1-4DEE-8961-69DB31993425}"/>
                  </a:ext>
                </a:extLst>
              </xdr:cNvPr>
              <xdr:cNvSpPr txBox="1"/>
            </xdr:nvSpPr>
            <xdr:spPr>
              <a:xfrm>
                <a:off x="23657225" y="4094559"/>
                <a:ext cx="615146" cy="25143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r"/>
                <a:fld id="{D6B83B47-4403-4787-9FBB-6E04C6CA59E7}" type="TxLink">
                  <a:rPr lang="en-US" sz="1600" b="0" i="0" u="none" strike="noStrike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pPr algn="r"/>
                  <a:t>1 600</a:t>
                </a:fld>
                <a:endParaRPr lang="ru-RU" sz="1600" b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xdr:grpSp>
      </xdr:grpSp>
      <xdr:grpSp>
        <xdr:nvGrpSpPr>
          <xdr:cNvPr id="97" name="Группа 96">
            <a:extLst>
              <a:ext uri="{FF2B5EF4-FFF2-40B4-BE49-F238E27FC236}">
                <a16:creationId xmlns:a16="http://schemas.microsoft.com/office/drawing/2014/main" xmlns="" id="{5163B494-C236-409B-B55E-36A556A8DCBC}"/>
              </a:ext>
            </a:extLst>
          </xdr:cNvPr>
          <xdr:cNvGrpSpPr/>
        </xdr:nvGrpSpPr>
        <xdr:grpSpPr>
          <a:xfrm>
            <a:off x="-142839" y="1701586"/>
            <a:ext cx="8521288" cy="3870524"/>
            <a:chOff x="-142839" y="1701586"/>
            <a:chExt cx="8521288" cy="3870524"/>
          </a:xfrm>
        </xdr:grpSpPr>
        <xdr:sp macro="" textlink="">
          <xdr:nvSpPr>
            <xdr:cNvPr id="36" name="Прямоугольник 35">
              <a:extLst>
                <a:ext uri="{FF2B5EF4-FFF2-40B4-BE49-F238E27FC236}">
                  <a16:creationId xmlns:a16="http://schemas.microsoft.com/office/drawing/2014/main" xmlns="" id="{6744F99A-43AB-4871-9C13-E484DACABD5F}"/>
                </a:ext>
              </a:extLst>
            </xdr:cNvPr>
            <xdr:cNvSpPr/>
          </xdr:nvSpPr>
          <xdr:spPr>
            <a:xfrm>
              <a:off x="107581" y="1719997"/>
              <a:ext cx="8270868" cy="3554895"/>
            </a:xfrm>
            <a:prstGeom prst="rect">
              <a:avLst/>
            </a:prstGeom>
            <a:solidFill>
              <a:srgbClr val="FACACA"/>
            </a:solidFill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400"/>
            </a:p>
          </xdr:txBody>
        </xdr:sp>
        <xdr:graphicFrame macro="">
          <xdr:nvGraphicFramePr>
            <xdr:cNvPr id="35" name="Диаграмма 34">
              <a:extLst>
                <a:ext uri="{FF2B5EF4-FFF2-40B4-BE49-F238E27FC236}">
                  <a16:creationId xmlns:a16="http://schemas.microsoft.com/office/drawing/2014/main" xmlns="" id="{D1FF0117-D6A9-422D-8AB4-C9028A360179}"/>
                </a:ext>
              </a:extLst>
            </xdr:cNvPr>
            <xdr:cNvGraphicFramePr>
              <a:graphicFrameLocks/>
            </xdr:cNvGraphicFramePr>
          </xdr:nvGraphicFramePr>
          <xdr:xfrm>
            <a:off x="-142839" y="1701586"/>
            <a:ext cx="7469739" cy="387052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xmlns="" id="{BB0765B7-F328-4031-BD2A-5340FC0E86FD}"/>
                </a:ext>
              </a:extLst>
            </xdr:cNvPr>
            <xdr:cNvSpPr txBox="1"/>
          </xdr:nvSpPr>
          <xdr:spPr>
            <a:xfrm>
              <a:off x="6420082" y="2255750"/>
              <a:ext cx="1814450" cy="4054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r"/>
              <a:r>
                <a:rPr lang="ru-RU" sz="2000" spc="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* млн. руб</a:t>
              </a:r>
              <a:r>
                <a:rPr lang="ru-RU" sz="2000" spc="0" baseline="0">
                  <a:solidFill>
                    <a:sysClr val="windowText" lastClr="000000"/>
                  </a:solidFill>
                </a:rPr>
                <a:t>.</a:t>
              </a:r>
            </a:p>
          </xdr:txBody>
        </xdr:sp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xmlns="" id="{BEE93F1C-F49D-40C0-87A1-40337EE93193}"/>
                </a:ext>
              </a:extLst>
            </xdr:cNvPr>
            <xdr:cNvSpPr txBox="1"/>
          </xdr:nvSpPr>
          <xdr:spPr>
            <a:xfrm>
              <a:off x="3193395" y="1714804"/>
              <a:ext cx="3776616" cy="446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r"/>
              <a:r>
                <a:rPr lang="ru-RU" sz="2400" b="1" i="0">
                  <a:solidFill>
                    <a:sysClr val="windowText" lastClr="000000"/>
                  </a:solidFill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rPr>
                <a:t>СТРУКТУРА ДОХОДОВ</a:t>
              </a:r>
            </a:p>
          </xdr:txBody>
        </xdr:sp>
        <xdr:sp macro="" textlink="доходы!L6">
          <xdr:nvSpPr>
            <xdr:cNvPr id="94" name="TextBox 93">
              <a:extLst>
                <a:ext uri="{FF2B5EF4-FFF2-40B4-BE49-F238E27FC236}">
                  <a16:creationId xmlns:a16="http://schemas.microsoft.com/office/drawing/2014/main" xmlns="" id="{B3334F8D-2028-42D3-AD89-0F34F117769F}"/>
                </a:ext>
              </a:extLst>
            </xdr:cNvPr>
            <xdr:cNvSpPr txBox="1"/>
          </xdr:nvSpPr>
          <xdr:spPr>
            <a:xfrm>
              <a:off x="6918364" y="2626699"/>
              <a:ext cx="915170" cy="3695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68769E97-235A-49CB-A3E5-BA8AEB1EE72D}" type="TxLink">
                <a:rPr lang="en-US" sz="2800" b="0" i="0" u="none" strike="noStrike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340,2</a:t>
              </a:fld>
              <a:endParaRPr lang="ru-RU" sz="28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доходы!L7">
          <xdr:nvSpPr>
            <xdr:cNvPr id="95" name="TextBox 94">
              <a:extLst>
                <a:ext uri="{FF2B5EF4-FFF2-40B4-BE49-F238E27FC236}">
                  <a16:creationId xmlns:a16="http://schemas.microsoft.com/office/drawing/2014/main" xmlns="" id="{11635BEE-ABBA-4ACF-A75C-F60890656971}"/>
                </a:ext>
              </a:extLst>
            </xdr:cNvPr>
            <xdr:cNvSpPr txBox="1"/>
          </xdr:nvSpPr>
          <xdr:spPr>
            <a:xfrm>
              <a:off x="7008689" y="3154237"/>
              <a:ext cx="824845" cy="34254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BBCA0BFB-D384-48BE-8C52-9D6123F1D89A}" type="TxLink">
                <a:rPr lang="en-US" sz="2800" b="0" i="0" u="none" strike="noStrike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17,0</a:t>
              </a:fld>
              <a:endParaRPr lang="ru-RU" sz="28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доходы!L8">
          <xdr:nvSpPr>
            <xdr:cNvPr id="96" name="TextBox 95">
              <a:extLst>
                <a:ext uri="{FF2B5EF4-FFF2-40B4-BE49-F238E27FC236}">
                  <a16:creationId xmlns:a16="http://schemas.microsoft.com/office/drawing/2014/main" xmlns="" id="{59F8E24F-CCDC-458A-9F66-B32F88EF0524}"/>
                </a:ext>
              </a:extLst>
            </xdr:cNvPr>
            <xdr:cNvSpPr txBox="1"/>
          </xdr:nvSpPr>
          <xdr:spPr>
            <a:xfrm>
              <a:off x="6729156" y="4026140"/>
              <a:ext cx="1180662" cy="3450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A9E5257B-A7AE-44E7-B632-F3F03B773319}" type="TxLink">
                <a:rPr lang="en-US" sz="2800" b="0" i="0" u="none" strike="noStrike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834,4</a:t>
              </a:fld>
              <a:endParaRPr lang="ru-RU" sz="2800" b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>
    <xdr:from>
      <xdr:col>0</xdr:col>
      <xdr:colOff>372315</xdr:colOff>
      <xdr:row>29</xdr:row>
      <xdr:rowOff>274925</xdr:rowOff>
    </xdr:from>
    <xdr:to>
      <xdr:col>20</xdr:col>
      <xdr:colOff>738188</xdr:colOff>
      <xdr:row>47</xdr:row>
      <xdr:rowOff>0</xdr:rowOff>
    </xdr:to>
    <xdr:grpSp>
      <xdr:nvGrpSpPr>
        <xdr:cNvPr id="114" name="Группа 113">
          <a:extLst>
            <a:ext uri="{FF2B5EF4-FFF2-40B4-BE49-F238E27FC236}">
              <a16:creationId xmlns:a16="http://schemas.microsoft.com/office/drawing/2014/main" xmlns="" id="{1FD1F460-EE37-4F94-A992-9C72354F7129}"/>
            </a:ext>
          </a:extLst>
        </xdr:cNvPr>
        <xdr:cNvGrpSpPr/>
      </xdr:nvGrpSpPr>
      <xdr:grpSpPr>
        <a:xfrm>
          <a:off x="372315" y="12786013"/>
          <a:ext cx="12510248" cy="7383175"/>
          <a:chOff x="1091544" y="5472545"/>
          <a:chExt cx="11360228" cy="7498774"/>
        </a:xfrm>
        <a:noFill/>
      </xdr:grpSpPr>
      <xdr:grpSp>
        <xdr:nvGrpSpPr>
          <xdr:cNvPr id="8" name="Группа 7">
            <a:extLst>
              <a:ext uri="{FF2B5EF4-FFF2-40B4-BE49-F238E27FC236}">
                <a16:creationId xmlns:a16="http://schemas.microsoft.com/office/drawing/2014/main" xmlns="" id="{F631E21F-929E-4A05-8D7B-CF712704AF60}"/>
              </a:ext>
            </a:extLst>
          </xdr:cNvPr>
          <xdr:cNvGrpSpPr/>
        </xdr:nvGrpSpPr>
        <xdr:grpSpPr>
          <a:xfrm>
            <a:off x="1091544" y="5472545"/>
            <a:ext cx="11360228" cy="7498774"/>
            <a:chOff x="268365" y="6062970"/>
            <a:chExt cx="9216000" cy="2839360"/>
          </a:xfrm>
          <a:grpFill/>
        </xdr:grpSpPr>
        <xdr:sp macro="" textlink="">
          <xdr:nvSpPr>
            <xdr:cNvPr id="9" name="Прямоугольник 8">
              <a:extLst>
                <a:ext uri="{FF2B5EF4-FFF2-40B4-BE49-F238E27FC236}">
                  <a16:creationId xmlns:a16="http://schemas.microsoft.com/office/drawing/2014/main" xmlns="" id="{DE6728A3-C120-4633-9F4D-CE29284A161D}"/>
                </a:ext>
              </a:extLst>
            </xdr:cNvPr>
            <xdr:cNvSpPr/>
          </xdr:nvSpPr>
          <xdr:spPr>
            <a:xfrm>
              <a:off x="268365" y="6062970"/>
              <a:ext cx="9216000" cy="2839360"/>
            </a:xfrm>
            <a:prstGeom prst="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ru-RU" sz="1100">
                <a:solidFill>
                  <a:schemeClr val="tx1">
                    <a:lumMod val="95000"/>
                    <a:lumOff val="5000"/>
                  </a:schemeClr>
                </a:solidFill>
              </a:endParaRPr>
            </a:p>
          </xdr:txBody>
        </xdr:sp>
        <xdr:graphicFrame macro="">
          <xdr:nvGraphicFramePr>
            <xdr:cNvPr id="49" name="Диаграмма 48">
              <a:extLst>
                <a:ext uri="{FF2B5EF4-FFF2-40B4-BE49-F238E27FC236}">
                  <a16:creationId xmlns:a16="http://schemas.microsoft.com/office/drawing/2014/main" xmlns="" id="{4169A35A-AF65-4822-8107-1D4271CA1C39}"/>
                </a:ext>
              </a:extLst>
            </xdr:cNvPr>
            <xdr:cNvGraphicFramePr>
              <a:graphicFrameLocks/>
            </xdr:cNvGraphicFramePr>
          </xdr:nvGraphicFramePr>
          <xdr:xfrm>
            <a:off x="1072402" y="6089200"/>
            <a:ext cx="8110938" cy="281313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xmlns="" id="{BDD2B939-C00C-4413-B6A2-EAE31839FA78}"/>
                </a:ext>
              </a:extLst>
            </xdr:cNvPr>
            <xdr:cNvSpPr txBox="1"/>
          </xdr:nvSpPr>
          <xdr:spPr>
            <a:xfrm>
              <a:off x="4180800" y="6134334"/>
              <a:ext cx="3378167" cy="191316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r"/>
              <a:r>
                <a:rPr lang="ru-RU" sz="2800" b="1" i="0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РАЗДЕЛЫ РАСХОДОВ</a:t>
              </a:r>
            </a:p>
          </xdr:txBody>
        </xdr:sp>
      </xdr:grpSp>
      <xdr:sp macro="" textlink="">
        <xdr:nvSpPr>
          <xdr:cNvPr id="103" name="TextBox 102">
            <a:extLst>
              <a:ext uri="{FF2B5EF4-FFF2-40B4-BE49-F238E27FC236}">
                <a16:creationId xmlns:a16="http://schemas.microsoft.com/office/drawing/2014/main" xmlns="" id="{36D89132-6FD8-4C9E-A779-B50934940F5D}"/>
              </a:ext>
            </a:extLst>
          </xdr:cNvPr>
          <xdr:cNvSpPr txBox="1"/>
        </xdr:nvSpPr>
        <xdr:spPr>
          <a:xfrm>
            <a:off x="9263773" y="6147752"/>
            <a:ext cx="1814450" cy="405432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r"/>
            <a:r>
              <a:rPr lang="ru-RU" sz="20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* тыс. руб</a:t>
            </a:r>
            <a:r>
              <a:rPr lang="ru-RU" sz="2000" spc="0" baseline="0">
                <a:solidFill>
                  <a:schemeClr val="tx1">
                    <a:lumMod val="95000"/>
                    <a:lumOff val="5000"/>
                  </a:schemeClr>
                </a:solidFill>
              </a:rPr>
              <a:t>.</a:t>
            </a:r>
          </a:p>
        </xdr:txBody>
      </xdr:sp>
      <xdr:grpSp>
        <xdr:nvGrpSpPr>
          <xdr:cNvPr id="101" name="Группа 100">
            <a:extLst>
              <a:ext uri="{FF2B5EF4-FFF2-40B4-BE49-F238E27FC236}">
                <a16:creationId xmlns:a16="http://schemas.microsoft.com/office/drawing/2014/main" xmlns="" id="{617DF3C3-77CC-4371-97B7-439DE85C01F3}"/>
              </a:ext>
            </a:extLst>
          </xdr:cNvPr>
          <xdr:cNvGrpSpPr/>
        </xdr:nvGrpSpPr>
        <xdr:grpSpPr>
          <a:xfrm>
            <a:off x="9333420" y="6650181"/>
            <a:ext cx="1716743" cy="5340893"/>
            <a:chOff x="9333420" y="6650181"/>
            <a:chExt cx="1716743" cy="5340893"/>
          </a:xfrm>
          <a:grpFill/>
        </xdr:grpSpPr>
        <xdr:sp macro="" textlink="РзПр!D17">
          <xdr:nvSpPr>
            <xdr:cNvPr id="106" name="TextBox 105">
              <a:extLst>
                <a:ext uri="{FF2B5EF4-FFF2-40B4-BE49-F238E27FC236}">
                  <a16:creationId xmlns:a16="http://schemas.microsoft.com/office/drawing/2014/main" xmlns="" id="{CC1B15E0-B9D1-4EC8-AE7C-C21FF4374AFA}"/>
                </a:ext>
              </a:extLst>
            </xdr:cNvPr>
            <xdr:cNvSpPr txBox="1"/>
          </xdr:nvSpPr>
          <xdr:spPr>
            <a:xfrm>
              <a:off x="9724936" y="6650181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C898D558-700C-4EA8-B717-DB8F2725F86C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124 668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0">
          <xdr:nvSpPr>
            <xdr:cNvPr id="107" name="TextBox 106">
              <a:extLst>
                <a:ext uri="{FF2B5EF4-FFF2-40B4-BE49-F238E27FC236}">
                  <a16:creationId xmlns:a16="http://schemas.microsoft.com/office/drawing/2014/main" xmlns="" id="{F052CD4E-7D54-4EFB-8CCA-3E2A520934FE}"/>
                </a:ext>
              </a:extLst>
            </xdr:cNvPr>
            <xdr:cNvSpPr txBox="1"/>
          </xdr:nvSpPr>
          <xdr:spPr>
            <a:xfrm>
              <a:off x="9724936" y="7308272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871C66F9-8F11-4166-96FD-9593C21C4D05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110 435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3">
          <xdr:nvSpPr>
            <xdr:cNvPr id="108" name="TextBox 107">
              <a:extLst>
                <a:ext uri="{FF2B5EF4-FFF2-40B4-BE49-F238E27FC236}">
                  <a16:creationId xmlns:a16="http://schemas.microsoft.com/office/drawing/2014/main" xmlns="" id="{92B337D1-B835-4433-9780-4ED2C2868877}"/>
                </a:ext>
              </a:extLst>
            </xdr:cNvPr>
            <xdr:cNvSpPr txBox="1"/>
          </xdr:nvSpPr>
          <xdr:spPr>
            <a:xfrm>
              <a:off x="9724936" y="8035636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8E6D1DE9-6CDE-43CF-8C2B-640928DBFD53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17 503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4">
          <xdr:nvSpPr>
            <xdr:cNvPr id="109" name="TextBox 108">
              <a:extLst>
                <a:ext uri="{FF2B5EF4-FFF2-40B4-BE49-F238E27FC236}">
                  <a16:creationId xmlns:a16="http://schemas.microsoft.com/office/drawing/2014/main" xmlns="" id="{23FAC935-F860-4994-9A03-E6F0BFFD48F3}"/>
                </a:ext>
              </a:extLst>
            </xdr:cNvPr>
            <xdr:cNvSpPr txBox="1"/>
          </xdr:nvSpPr>
          <xdr:spPr>
            <a:xfrm>
              <a:off x="9333420" y="8693727"/>
              <a:ext cx="1698264" cy="491852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1AAEA649-D7D8-4ABB-9A45-BEE10DBCE504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797 978</a:t>
              </a:fld>
              <a:endParaRPr lang="ru-RU" sz="24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5">
          <xdr:nvSpPr>
            <xdr:cNvPr id="110" name="TextBox 109">
              <a:extLst>
                <a:ext uri="{FF2B5EF4-FFF2-40B4-BE49-F238E27FC236}">
                  <a16:creationId xmlns:a16="http://schemas.microsoft.com/office/drawing/2014/main" xmlns="" id="{4746512A-276D-4502-B475-0EC30ECEFB8C}"/>
                </a:ext>
              </a:extLst>
            </xdr:cNvPr>
            <xdr:cNvSpPr txBox="1"/>
          </xdr:nvSpPr>
          <xdr:spPr>
            <a:xfrm>
              <a:off x="9724936" y="9490363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DE5F740A-1D2A-4E55-BDC9-3B5D8656FF06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82 009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6">
          <xdr:nvSpPr>
            <xdr:cNvPr id="111" name="TextBox 110">
              <a:extLst>
                <a:ext uri="{FF2B5EF4-FFF2-40B4-BE49-F238E27FC236}">
                  <a16:creationId xmlns:a16="http://schemas.microsoft.com/office/drawing/2014/main" xmlns="" id="{F5DF156D-AA94-4D8B-92D6-19DA02B4B28E}"/>
                </a:ext>
              </a:extLst>
            </xdr:cNvPr>
            <xdr:cNvSpPr txBox="1"/>
          </xdr:nvSpPr>
          <xdr:spPr>
            <a:xfrm>
              <a:off x="9724936" y="10148454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1A5FB35D-694D-4C74-8481-60FFCEE8EFBF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6 976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7">
          <xdr:nvSpPr>
            <xdr:cNvPr id="112" name="TextBox 111">
              <a:extLst>
                <a:ext uri="{FF2B5EF4-FFF2-40B4-BE49-F238E27FC236}">
                  <a16:creationId xmlns:a16="http://schemas.microsoft.com/office/drawing/2014/main" xmlns="" id="{464510BB-00B8-48C9-B060-992BA3F0510D}"/>
                </a:ext>
              </a:extLst>
            </xdr:cNvPr>
            <xdr:cNvSpPr txBox="1"/>
          </xdr:nvSpPr>
          <xdr:spPr>
            <a:xfrm>
              <a:off x="9724936" y="10875818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A5D01737-BBCA-4E45-9ACB-9CC61D24521E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3 532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РзПр!D28">
          <xdr:nvSpPr>
            <xdr:cNvPr id="113" name="TextBox 112">
              <a:extLst>
                <a:ext uri="{FF2B5EF4-FFF2-40B4-BE49-F238E27FC236}">
                  <a16:creationId xmlns:a16="http://schemas.microsoft.com/office/drawing/2014/main" xmlns="" id="{F06AC01B-F575-4EB7-B9E0-A02229A55691}"/>
                </a:ext>
              </a:extLst>
            </xdr:cNvPr>
            <xdr:cNvSpPr txBox="1"/>
          </xdr:nvSpPr>
          <xdr:spPr>
            <a:xfrm>
              <a:off x="9743416" y="11610073"/>
              <a:ext cx="1306747" cy="381001"/>
            </a:xfrm>
            <a:prstGeom prst="rect">
              <a:avLst/>
            </a:prstGeom>
            <a:grp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noAutofit/>
            </a:bodyPr>
            <a:lstStyle/>
            <a:p>
              <a:pPr algn="r"/>
              <a:fld id="{3EA0674B-6FBF-4087-BFCE-95D425AD9FEC}" type="TxLink">
                <a:rPr lang="en-US" sz="2400" b="0" i="0" u="none" strike="noStrike">
                  <a:solidFill>
                    <a:schemeClr val="tx1">
                      <a:lumMod val="95000"/>
                      <a:lumOff val="5000"/>
                    </a:schemeClr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pPr algn="r"/>
                <a:t>48 540</a:t>
              </a:fld>
              <a:endParaRPr lang="ru-RU" sz="6600" b="0">
                <a:solidFill>
                  <a:schemeClr val="tx1">
                    <a:lumMod val="95000"/>
                    <a:lumOff val="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oneCellAnchor>
    <xdr:from>
      <xdr:col>0</xdr:col>
      <xdr:colOff>740020</xdr:colOff>
      <xdr:row>1</xdr:row>
      <xdr:rowOff>505557</xdr:rowOff>
    </xdr:from>
    <xdr:ext cx="184731" cy="280205"/>
    <xdr:sp macro="" textlink="">
      <xdr:nvSpPr>
        <xdr:cNvPr id="12" name="TextBox 1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30873552-00D8-4BDC-BEAA-DC87F0543108}"/>
            </a:ext>
          </a:extLst>
        </xdr:cNvPr>
        <xdr:cNvSpPr txBox="1"/>
      </xdr:nvSpPr>
      <xdr:spPr>
        <a:xfrm>
          <a:off x="740020" y="505557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200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104775</xdr:colOff>
      <xdr:row>0</xdr:row>
      <xdr:rowOff>47625</xdr:rowOff>
    </xdr:from>
    <xdr:to>
      <xdr:col>2</xdr:col>
      <xdr:colOff>241172</xdr:colOff>
      <xdr:row>0</xdr:row>
      <xdr:rowOff>2047875</xdr:rowOff>
    </xdr:to>
    <xdr:pic>
      <xdr:nvPicPr>
        <xdr:cNvPr id="85" name="Picture 5" descr="https://upload.wikimedia.org/wikipedia/commons/thumb/3/39/Coat_of_Arms_of_Malaya_Purga_Region_%28Udmurtia%29.svg/400px-Coat_of_Arms_of_Malaya_Purga_Region_%28Udmurtia%29.svg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47625"/>
          <a:ext cx="1231772" cy="2000250"/>
        </a:xfrm>
        <a:prstGeom prst="rect">
          <a:avLst/>
        </a:prstGeom>
        <a:noFill/>
      </xdr:spPr>
    </xdr:pic>
    <xdr:clientData/>
  </xdr:twoCellAnchor>
  <xdr:oneCellAnchor>
    <xdr:from>
      <xdr:col>41</xdr:col>
      <xdr:colOff>171450</xdr:colOff>
      <xdr:row>2</xdr:row>
      <xdr:rowOff>57150</xdr:rowOff>
    </xdr:from>
    <xdr:ext cx="184731" cy="264560"/>
    <xdr:sp macro="" textlink="">
      <xdr:nvSpPr>
        <xdr:cNvPr id="21" name="TextBox 20"/>
        <xdr:cNvSpPr txBox="1"/>
      </xdr:nvSpPr>
      <xdr:spPr>
        <a:xfrm>
          <a:off x="26498550" y="468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2</xdr:col>
      <xdr:colOff>452438</xdr:colOff>
      <xdr:row>30</xdr:row>
      <xdr:rowOff>238125</xdr:rowOff>
    </xdr:from>
    <xdr:to>
      <xdr:col>3</xdr:col>
      <xdr:colOff>381000</xdr:colOff>
      <xdr:row>43</xdr:row>
      <xdr:rowOff>333375</xdr:rowOff>
    </xdr:to>
    <xdr:sp macro="" textlink="">
      <xdr:nvSpPr>
        <xdr:cNvPr id="18" name="Левая фигурная скобка 17"/>
        <xdr:cNvSpPr/>
      </xdr:nvSpPr>
      <xdr:spPr>
        <a:xfrm>
          <a:off x="1547813" y="12930188"/>
          <a:ext cx="547687" cy="5286375"/>
        </a:xfrm>
        <a:prstGeom prst="leftBrace">
          <a:avLst>
            <a:gd name="adj1" fmla="val 8333"/>
            <a:gd name="adj2" fmla="val 49180"/>
          </a:avLst>
        </a:prstGeom>
        <a:ln w="57150"/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142876</xdr:colOff>
      <xdr:row>31</xdr:row>
      <xdr:rowOff>95250</xdr:rowOff>
    </xdr:from>
    <xdr:to>
      <xdr:col>2</xdr:col>
      <xdr:colOff>404813</xdr:colOff>
      <xdr:row>43</xdr:row>
      <xdr:rowOff>23812</xdr:rowOff>
    </xdr:to>
    <xdr:sp macro="" textlink="">
      <xdr:nvSpPr>
        <xdr:cNvPr id="87" name="TextBox 86"/>
        <xdr:cNvSpPr txBox="1"/>
      </xdr:nvSpPr>
      <xdr:spPr>
        <a:xfrm>
          <a:off x="142876" y="13406438"/>
          <a:ext cx="1357312" cy="4500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ru-RU" sz="3600" b="1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Социальная направленность</a:t>
          </a:r>
        </a:p>
      </xdr:txBody>
    </xdr:sp>
    <xdr:clientData/>
  </xdr:twoCellAnchor>
  <xdr:twoCellAnchor editAs="oneCell">
    <xdr:from>
      <xdr:col>0</xdr:col>
      <xdr:colOff>214311</xdr:colOff>
      <xdr:row>0</xdr:row>
      <xdr:rowOff>2809876</xdr:rowOff>
    </xdr:from>
    <xdr:to>
      <xdr:col>5</xdr:col>
      <xdr:colOff>104512</xdr:colOff>
      <xdr:row>0</xdr:row>
      <xdr:rowOff>4024313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4311" y="2809876"/>
          <a:ext cx="2842951" cy="121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166689</xdr:colOff>
      <xdr:row>0</xdr:row>
      <xdr:rowOff>3643313</xdr:rowOff>
    </xdr:from>
    <xdr:to>
      <xdr:col>11</xdr:col>
      <xdr:colOff>261939</xdr:colOff>
      <xdr:row>6</xdr:row>
      <xdr:rowOff>176212</xdr:rowOff>
    </xdr:to>
    <xdr:pic>
      <xdr:nvPicPr>
        <xdr:cNvPr id="78" name="Picture 90" descr="C:\Users\User\Desktop\Новая папка\about_budget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1189" y="3643313"/>
          <a:ext cx="5048250" cy="3367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23812</xdr:colOff>
      <xdr:row>0</xdr:row>
      <xdr:rowOff>2868753</xdr:rowOff>
    </xdr:from>
    <xdr:to>
      <xdr:col>14</xdr:col>
      <xdr:colOff>571499</xdr:colOff>
      <xdr:row>0</xdr:row>
      <xdr:rowOff>4031424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72187" y="2868753"/>
          <a:ext cx="3024187" cy="1162671"/>
        </a:xfrm>
        <a:prstGeom prst="rect">
          <a:avLst/>
        </a:prstGeom>
      </xdr:spPr>
    </xdr:pic>
    <xdr:clientData/>
  </xdr:twoCellAnchor>
  <xdr:twoCellAnchor editAs="oneCell">
    <xdr:from>
      <xdr:col>3</xdr:col>
      <xdr:colOff>214312</xdr:colOff>
      <xdr:row>0</xdr:row>
      <xdr:rowOff>2011905</xdr:rowOff>
    </xdr:from>
    <xdr:to>
      <xdr:col>11</xdr:col>
      <xdr:colOff>214311</xdr:colOff>
      <xdr:row>0</xdr:row>
      <xdr:rowOff>3381375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8812" y="2011905"/>
          <a:ext cx="4952999" cy="1369470"/>
        </a:xfrm>
        <a:prstGeom prst="rect">
          <a:avLst/>
        </a:prstGeom>
      </xdr:spPr>
    </xdr:pic>
    <xdr:clientData/>
  </xdr:twoCellAnchor>
  <xdr:twoCellAnchor>
    <xdr:from>
      <xdr:col>0</xdr:col>
      <xdr:colOff>309562</xdr:colOff>
      <xdr:row>0</xdr:row>
      <xdr:rowOff>3833813</xdr:rowOff>
    </xdr:from>
    <xdr:to>
      <xdr:col>5</xdr:col>
      <xdr:colOff>238126</xdr:colOff>
      <xdr:row>6</xdr:row>
      <xdr:rowOff>333375</xdr:rowOff>
    </xdr:to>
    <xdr:sp macro="" textlink="">
      <xdr:nvSpPr>
        <xdr:cNvPr id="82" name="TextBox 3"/>
        <xdr:cNvSpPr txBox="1"/>
      </xdr:nvSpPr>
      <xdr:spPr>
        <a:xfrm>
          <a:off x="309562" y="3833813"/>
          <a:ext cx="2881314" cy="2952750"/>
        </a:xfrm>
        <a:prstGeom prst="rect">
          <a:avLst/>
        </a:prstGeom>
        <a:noFill/>
        <a:ln w="19050"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2400">
              <a:latin typeface="Bahnschrift SemiCondensed" panose="020B0502040204020203" pitchFamily="34" charset="0"/>
              <a:cs typeface="Times New Roman" panose="02020603050405020304" pitchFamily="18" charset="0"/>
            </a:rPr>
            <a:t>-поступающие в бюджет денежные средства (налоги физических и юридических лиц, штрафы, административные платежи и сборы, финансовая помощь</a:t>
          </a:r>
        </a:p>
      </xdr:txBody>
    </xdr:sp>
    <xdr:clientData/>
  </xdr:twoCellAnchor>
  <xdr:twoCellAnchor>
    <xdr:from>
      <xdr:col>10</xdr:col>
      <xdr:colOff>333376</xdr:colOff>
      <xdr:row>0</xdr:row>
      <xdr:rowOff>3690937</xdr:rowOff>
    </xdr:from>
    <xdr:to>
      <xdr:col>15</xdr:col>
      <xdr:colOff>523875</xdr:colOff>
      <xdr:row>8</xdr:row>
      <xdr:rowOff>23917</xdr:rowOff>
    </xdr:to>
    <xdr:sp macro="" textlink="">
      <xdr:nvSpPr>
        <xdr:cNvPr id="86" name="TextBox 10"/>
        <xdr:cNvSpPr txBox="1"/>
      </xdr:nvSpPr>
      <xdr:spPr>
        <a:xfrm>
          <a:off x="6381751" y="3690937"/>
          <a:ext cx="3286124" cy="3786293"/>
        </a:xfrm>
        <a:prstGeom prst="rect">
          <a:avLst/>
        </a:prstGeom>
        <a:noFill/>
        <a:ln w="19050">
          <a:noFill/>
        </a:ln>
        <a:effectLst/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ru-RU" sz="2400">
              <a:latin typeface="Bahnschrift SemiCondensed" panose="020B0502040204020203" pitchFamily="34" charset="0"/>
              <a:cs typeface="Times New Roman" panose="02020603050405020304" pitchFamily="18" charset="0"/>
            </a:rPr>
            <a:t>-выплачиваемые из бюджета денежные средства (социальные выплаты населению, содержание государственных учреждений (образование, здравоохранение и другое</a:t>
          </a:r>
        </a:p>
      </xdr:txBody>
    </xdr:sp>
    <xdr:clientData/>
  </xdr:twoCellAnchor>
  <xdr:twoCellAnchor>
    <xdr:from>
      <xdr:col>36</xdr:col>
      <xdr:colOff>95251</xdr:colOff>
      <xdr:row>0</xdr:row>
      <xdr:rowOff>1881189</xdr:rowOff>
    </xdr:from>
    <xdr:to>
      <xdr:col>40</xdr:col>
      <xdr:colOff>214312</xdr:colOff>
      <xdr:row>0</xdr:row>
      <xdr:rowOff>2643189</xdr:rowOff>
    </xdr:to>
    <xdr:sp macro="" textlink="">
      <xdr:nvSpPr>
        <xdr:cNvPr id="122" name="Прямоугольник 121">
          <a:extLst>
            <a:ext uri="{FF2B5EF4-FFF2-40B4-BE49-F238E27FC236}">
              <a16:creationId xmlns:a16="http://schemas.microsoft.com/office/drawing/2014/main" xmlns="" id="{5B7D444E-22C2-42D9-8A1D-103253A68179}"/>
            </a:ext>
          </a:extLst>
        </xdr:cNvPr>
        <xdr:cNvSpPr/>
      </xdr:nvSpPr>
      <xdr:spPr>
        <a:xfrm>
          <a:off x="23693439" y="1881189"/>
          <a:ext cx="3262311" cy="762000"/>
        </a:xfrm>
        <a:prstGeom prst="rect">
          <a:avLst/>
        </a:prstGeom>
        <a:solidFill>
          <a:srgbClr val="FFC1C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200" b="0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36</xdr:col>
      <xdr:colOff>71437</xdr:colOff>
      <xdr:row>0</xdr:row>
      <xdr:rowOff>1738312</xdr:rowOff>
    </xdr:from>
    <xdr:to>
      <xdr:col>40</xdr:col>
      <xdr:colOff>142876</xdr:colOff>
      <xdr:row>0</xdr:row>
      <xdr:rowOff>2643187</xdr:rowOff>
    </xdr:to>
    <xdr:sp macro="" textlink="РзПр!F18">
      <xdr:nvSpPr>
        <xdr:cNvPr id="22" name="TextBox 21"/>
        <xdr:cNvSpPr txBox="1"/>
      </xdr:nvSpPr>
      <xdr:spPr>
        <a:xfrm>
          <a:off x="23669625" y="1738312"/>
          <a:ext cx="3214689" cy="904875"/>
        </a:xfrm>
        <a:prstGeom prst="rect">
          <a:avLst/>
        </a:prstGeom>
        <a:solidFill>
          <a:srgbClr val="FFC1C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B0779F9-2567-4C7F-BCFC-8B3DA22228FE}" type="TxLink">
            <a:rPr lang="en-US" sz="2800" b="0" i="1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 algn="ctr"/>
            <a:t>0,0</a:t>
          </a:fld>
          <a:endParaRPr lang="ru-RU" sz="28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36</xdr:col>
      <xdr:colOff>71437</xdr:colOff>
      <xdr:row>0</xdr:row>
      <xdr:rowOff>1214439</xdr:rowOff>
    </xdr:from>
    <xdr:to>
      <xdr:col>40</xdr:col>
      <xdr:colOff>119062</xdr:colOff>
      <xdr:row>0</xdr:row>
      <xdr:rowOff>1833563</xdr:rowOff>
    </xdr:to>
    <xdr:sp macro="" textlink="">
      <xdr:nvSpPr>
        <xdr:cNvPr id="23" name="TextBox 22"/>
        <xdr:cNvSpPr txBox="1"/>
      </xdr:nvSpPr>
      <xdr:spPr>
        <a:xfrm>
          <a:off x="23669625" y="1214439"/>
          <a:ext cx="3190875" cy="619124"/>
        </a:xfrm>
        <a:prstGeom prst="rect">
          <a:avLst/>
        </a:prstGeom>
        <a:solidFill>
          <a:srgbClr val="FFC1C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800" b="1">
              <a:latin typeface="Times New Roman" panose="02020603050405020304" pitchFamily="18" charset="0"/>
              <a:cs typeface="Times New Roman" panose="02020603050405020304" pitchFamily="18" charset="0"/>
            </a:rPr>
            <a:t>ДЕФИЦИТ</a:t>
          </a:r>
        </a:p>
      </xdr:txBody>
    </xdr:sp>
    <xdr:clientData/>
  </xdr:twoCellAnchor>
  <xdr:twoCellAnchor>
    <xdr:from>
      <xdr:col>36</xdr:col>
      <xdr:colOff>166687</xdr:colOff>
      <xdr:row>0</xdr:row>
      <xdr:rowOff>2166938</xdr:rowOff>
    </xdr:from>
    <xdr:to>
      <xdr:col>39</xdr:col>
      <xdr:colOff>380999</xdr:colOff>
      <xdr:row>0</xdr:row>
      <xdr:rowOff>2595563</xdr:rowOff>
    </xdr:to>
    <xdr:sp macro="" textlink="">
      <xdr:nvSpPr>
        <xdr:cNvPr id="25" name="TextBox 24"/>
        <xdr:cNvSpPr txBox="1"/>
      </xdr:nvSpPr>
      <xdr:spPr>
        <a:xfrm>
          <a:off x="23764875" y="2166938"/>
          <a:ext cx="2738437" cy="428625"/>
        </a:xfrm>
        <a:prstGeom prst="rect">
          <a:avLst/>
        </a:prstGeom>
        <a:solidFill>
          <a:srgbClr val="FFC1C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800" i="1">
              <a:latin typeface="Times New Roman" panose="02020603050405020304" pitchFamily="18" charset="0"/>
              <a:cs typeface="Times New Roman" panose="02020603050405020304" pitchFamily="18" charset="0"/>
            </a:rPr>
            <a:t>тыс.руб</a:t>
          </a:r>
          <a:r>
            <a:rPr lang="ru-RU" sz="1800"/>
            <a:t>.</a:t>
          </a:r>
        </a:p>
      </xdr:txBody>
    </xdr:sp>
    <xdr:clientData/>
  </xdr:twoCellAnchor>
  <xdr:twoCellAnchor>
    <xdr:from>
      <xdr:col>11</xdr:col>
      <xdr:colOff>190499</xdr:colOff>
      <xdr:row>0</xdr:row>
      <xdr:rowOff>1190625</xdr:rowOff>
    </xdr:from>
    <xdr:to>
      <xdr:col>16</xdr:col>
      <xdr:colOff>217211</xdr:colOff>
      <xdr:row>0</xdr:row>
      <xdr:rowOff>2595563</xdr:rowOff>
    </xdr:to>
    <xdr:sp macro="" textlink="РзПр!F19">
      <xdr:nvSpPr>
        <xdr:cNvPr id="88" name="Прямоугольник 87">
          <a:extLst>
            <a:ext uri="{FF2B5EF4-FFF2-40B4-BE49-F238E27FC236}">
              <a16:creationId xmlns:a16="http://schemas.microsoft.com/office/drawing/2014/main" xmlns="" id="{5B7D444E-22C2-42D9-8A1D-103253A68179}"/>
            </a:ext>
          </a:extLst>
        </xdr:cNvPr>
        <xdr:cNvSpPr/>
      </xdr:nvSpPr>
      <xdr:spPr>
        <a:xfrm>
          <a:off x="6857999" y="1190625"/>
          <a:ext cx="3122337" cy="1404938"/>
        </a:xfrm>
        <a:prstGeom prst="rect">
          <a:avLst/>
        </a:prstGeom>
        <a:solidFill>
          <a:srgbClr val="FFC1C2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DE76F7F-ECB0-4EB0-9D1B-135E8A96E1D7}" type="TxLink">
            <a:rPr lang="en-US" sz="4000" b="1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 algn="ctr"/>
            <a:t>2026</a:t>
          </a:fld>
          <a:endParaRPr lang="ru-RU" sz="4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547688</xdr:colOff>
      <xdr:row>0</xdr:row>
      <xdr:rowOff>2143125</xdr:rowOff>
    </xdr:from>
    <xdr:to>
      <xdr:col>15</xdr:col>
      <xdr:colOff>285750</xdr:colOff>
      <xdr:row>0</xdr:row>
      <xdr:rowOff>2667000</xdr:rowOff>
    </xdr:to>
    <xdr:sp macro="" textlink="">
      <xdr:nvSpPr>
        <xdr:cNvPr id="26" name="TextBox 25"/>
        <xdr:cNvSpPr txBox="1"/>
      </xdr:nvSpPr>
      <xdr:spPr>
        <a:xfrm>
          <a:off x="7215188" y="2143125"/>
          <a:ext cx="2214562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600">
              <a:latin typeface="Times New Roman" panose="02020603050405020304" pitchFamily="18" charset="0"/>
              <a:cs typeface="Times New Roman" panose="02020603050405020304" pitchFamily="18" charset="0"/>
            </a:rPr>
            <a:t>год (исполнение)</a:t>
          </a:r>
        </a:p>
      </xdr:txBody>
    </xdr:sp>
    <xdr:clientData/>
  </xdr:twoCellAnchor>
  <xdr:twoCellAnchor>
    <xdr:from>
      <xdr:col>33</xdr:col>
      <xdr:colOff>214313</xdr:colOff>
      <xdr:row>0</xdr:row>
      <xdr:rowOff>3976689</xdr:rowOff>
    </xdr:from>
    <xdr:to>
      <xdr:col>38</xdr:col>
      <xdr:colOff>0</xdr:colOff>
      <xdr:row>1</xdr:row>
      <xdr:rowOff>550680</xdr:rowOff>
    </xdr:to>
    <xdr:sp macro="" textlink="">
      <xdr:nvSpPr>
        <xdr:cNvPr id="90" name="TextBox 4"/>
        <xdr:cNvSpPr txBox="1"/>
      </xdr:nvSpPr>
      <xdr:spPr>
        <a:xfrm>
          <a:off x="21788438" y="3976689"/>
          <a:ext cx="3714750" cy="1169804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26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Расходы бюджета распределены по:</a:t>
          </a:r>
        </a:p>
      </xdr:txBody>
    </xdr:sp>
    <xdr:clientData/>
  </xdr:twoCellAnchor>
  <xdr:twoCellAnchor>
    <xdr:from>
      <xdr:col>29</xdr:col>
      <xdr:colOff>404813</xdr:colOff>
      <xdr:row>3</xdr:row>
      <xdr:rowOff>23813</xdr:rowOff>
    </xdr:from>
    <xdr:to>
      <xdr:col>34</xdr:col>
      <xdr:colOff>0</xdr:colOff>
      <xdr:row>7</xdr:row>
      <xdr:rowOff>-1</xdr:rowOff>
    </xdr:to>
    <xdr:sp macro="" textlink="">
      <xdr:nvSpPr>
        <xdr:cNvPr id="91" name="Овал 90"/>
        <xdr:cNvSpPr/>
      </xdr:nvSpPr>
      <xdr:spPr>
        <a:xfrm>
          <a:off x="19502438" y="5595938"/>
          <a:ext cx="2690812" cy="2047874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  <a:ln w="317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24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4 главным распоряди-телям</a:t>
          </a:r>
        </a:p>
      </xdr:txBody>
    </xdr:sp>
    <xdr:clientData/>
  </xdr:twoCellAnchor>
  <xdr:twoCellAnchor>
    <xdr:from>
      <xdr:col>34</xdr:col>
      <xdr:colOff>190713</xdr:colOff>
      <xdr:row>3</xdr:row>
      <xdr:rowOff>23812</xdr:rowOff>
    </xdr:from>
    <xdr:to>
      <xdr:col>37</xdr:col>
      <xdr:colOff>155795</xdr:colOff>
      <xdr:row>6</xdr:row>
      <xdr:rowOff>809623</xdr:rowOff>
    </xdr:to>
    <xdr:sp macro="" textlink="">
      <xdr:nvSpPr>
        <xdr:cNvPr id="92" name="Овал 91"/>
        <xdr:cNvSpPr/>
      </xdr:nvSpPr>
      <xdr:spPr>
        <a:xfrm>
          <a:off x="22383963" y="5595937"/>
          <a:ext cx="2655895" cy="2047874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  <a:ln w="317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24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12 разделам бюджетной классифи-кации</a:t>
          </a:r>
        </a:p>
      </xdr:txBody>
    </xdr:sp>
    <xdr:clientData/>
  </xdr:twoCellAnchor>
  <xdr:twoCellAnchor>
    <xdr:from>
      <xdr:col>37</xdr:col>
      <xdr:colOff>357188</xdr:colOff>
      <xdr:row>3</xdr:row>
      <xdr:rowOff>23813</xdr:rowOff>
    </xdr:from>
    <xdr:to>
      <xdr:col>41</xdr:col>
      <xdr:colOff>404813</xdr:colOff>
      <xdr:row>7</xdr:row>
      <xdr:rowOff>-1</xdr:rowOff>
    </xdr:to>
    <xdr:sp macro="" textlink="">
      <xdr:nvSpPr>
        <xdr:cNvPr id="93" name="Овал 92"/>
        <xdr:cNvSpPr/>
      </xdr:nvSpPr>
      <xdr:spPr>
        <a:xfrm>
          <a:off x="25241251" y="5595938"/>
          <a:ext cx="2762250" cy="2047874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  <a:ln w="317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24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1</a:t>
          </a:r>
          <a:r>
            <a:rPr lang="ru-RU" sz="24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5 </a:t>
          </a:r>
          <a:r>
            <a:rPr lang="ru-RU" sz="18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муниципальным программам</a:t>
          </a:r>
          <a:r>
            <a:rPr lang="en-US" sz="18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800" b="1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и непрограммным направлениям</a:t>
          </a:r>
        </a:p>
      </xdr:txBody>
    </xdr:sp>
    <xdr:clientData/>
  </xdr:twoCellAnchor>
  <xdr:twoCellAnchor>
    <xdr:from>
      <xdr:col>31</xdr:col>
      <xdr:colOff>511969</xdr:colOff>
      <xdr:row>1</xdr:row>
      <xdr:rowOff>0</xdr:rowOff>
    </xdr:from>
    <xdr:to>
      <xdr:col>33</xdr:col>
      <xdr:colOff>166689</xdr:colOff>
      <xdr:row>3</xdr:row>
      <xdr:rowOff>23813</xdr:rowOff>
    </xdr:to>
    <xdr:cxnSp macro="">
      <xdr:nvCxnSpPr>
        <xdr:cNvPr id="102" name="Прямая соединительная линия 101"/>
        <xdr:cNvCxnSpPr>
          <a:endCxn id="91" idx="0"/>
        </xdr:cNvCxnSpPr>
      </xdr:nvCxnSpPr>
      <xdr:spPr>
        <a:xfrm flipH="1">
          <a:off x="20847844" y="4595813"/>
          <a:ext cx="892970" cy="1000125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113723</xdr:colOff>
      <xdr:row>1</xdr:row>
      <xdr:rowOff>571500</xdr:rowOff>
    </xdr:from>
    <xdr:to>
      <xdr:col>36</xdr:col>
      <xdr:colOff>119062</xdr:colOff>
      <xdr:row>3</xdr:row>
      <xdr:rowOff>23812</xdr:rowOff>
    </xdr:to>
    <xdr:cxnSp macro="">
      <xdr:nvCxnSpPr>
        <xdr:cNvPr id="104" name="Прямая соединительная линия 103"/>
        <xdr:cNvCxnSpPr>
          <a:stCxn id="92" idx="0"/>
        </xdr:cNvCxnSpPr>
      </xdr:nvCxnSpPr>
      <xdr:spPr>
        <a:xfrm flipV="1">
          <a:off x="23711911" y="5167313"/>
          <a:ext cx="5339" cy="428624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0</xdr:row>
      <xdr:rowOff>4561591</xdr:rowOff>
    </xdr:from>
    <xdr:to>
      <xdr:col>39</xdr:col>
      <xdr:colOff>500063</xdr:colOff>
      <xdr:row>3</xdr:row>
      <xdr:rowOff>23813</xdr:rowOff>
    </xdr:to>
    <xdr:cxnSp macro="">
      <xdr:nvCxnSpPr>
        <xdr:cNvPr id="105" name="Прямая соединительная линия 104"/>
        <xdr:cNvCxnSpPr>
          <a:stCxn id="90" idx="3"/>
          <a:endCxn id="93" idx="0"/>
        </xdr:cNvCxnSpPr>
      </xdr:nvCxnSpPr>
      <xdr:spPr>
        <a:xfrm>
          <a:off x="25503188" y="4561591"/>
          <a:ext cx="1119188" cy="1034347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36</xdr:col>
      <xdr:colOff>238125</xdr:colOff>
      <xdr:row>36</xdr:row>
      <xdr:rowOff>119062</xdr:rowOff>
    </xdr:from>
    <xdr:to>
      <xdr:col>41</xdr:col>
      <xdr:colOff>71439</xdr:colOff>
      <xdr:row>43</xdr:row>
      <xdr:rowOff>166687</xdr:rowOff>
    </xdr:to>
    <xdr:pic>
      <xdr:nvPicPr>
        <xdr:cNvPr id="139" name="Picture 2" descr="C:\Users\User\Desktop\Новая папка\agreement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6313" y="15430500"/>
          <a:ext cx="3833814" cy="27146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71438</xdr:colOff>
      <xdr:row>0</xdr:row>
      <xdr:rowOff>2809876</xdr:rowOff>
    </xdr:from>
    <xdr:to>
      <xdr:col>29</xdr:col>
      <xdr:colOff>381001</xdr:colOff>
      <xdr:row>8</xdr:row>
      <xdr:rowOff>95250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16</xdr:col>
      <xdr:colOff>309562</xdr:colOff>
      <xdr:row>6</xdr:row>
      <xdr:rowOff>738188</xdr:rowOff>
    </xdr:from>
    <xdr:ext cx="646331" cy="357790"/>
    <xdr:sp macro="" textlink="">
      <xdr:nvSpPr>
        <xdr:cNvPr id="30" name="TextBox 29"/>
        <xdr:cNvSpPr txBox="1"/>
      </xdr:nvSpPr>
      <xdr:spPr>
        <a:xfrm>
          <a:off x="10072687" y="7572376"/>
          <a:ext cx="646331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2016</a:t>
          </a:r>
        </a:p>
      </xdr:txBody>
    </xdr:sp>
    <xdr:clientData/>
  </xdr:oneCellAnchor>
  <xdr:twoCellAnchor>
    <xdr:from>
      <xdr:col>26</xdr:col>
      <xdr:colOff>381000</xdr:colOff>
      <xdr:row>6</xdr:row>
      <xdr:rowOff>738186</xdr:rowOff>
    </xdr:from>
    <xdr:to>
      <xdr:col>28</xdr:col>
      <xdr:colOff>98150</xdr:colOff>
      <xdr:row>8</xdr:row>
      <xdr:rowOff>71436</xdr:rowOff>
    </xdr:to>
    <xdr:sp macro="" textlink="РзПр!F19">
      <xdr:nvSpPr>
        <xdr:cNvPr id="115" name="Прямоугольник 114">
          <a:extLst>
            <a:ext uri="{FF2B5EF4-FFF2-40B4-BE49-F238E27FC236}">
              <a16:creationId xmlns:a16="http://schemas.microsoft.com/office/drawing/2014/main" xmlns="" id="{5B7D444E-22C2-42D9-8A1D-103253A68179}"/>
            </a:ext>
          </a:extLst>
        </xdr:cNvPr>
        <xdr:cNvSpPr/>
      </xdr:nvSpPr>
      <xdr:spPr>
        <a:xfrm>
          <a:off x="17621250" y="7572374"/>
          <a:ext cx="955400" cy="333375"/>
        </a:xfrm>
        <a:prstGeom prst="rect">
          <a:avLst/>
        </a:prstGeom>
        <a:noFill/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1DE76F7F-ECB0-4EB0-9D1B-135E8A96E1D7}" type="TxLink">
            <a:rPr 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pPr algn="ctr"/>
            <a:t>2026</a:t>
          </a:fld>
          <a:endParaRPr lang="ru-RU" sz="1800" b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2</xdr:col>
      <xdr:colOff>416625</xdr:colOff>
      <xdr:row>0</xdr:row>
      <xdr:rowOff>1116000</xdr:rowOff>
    </xdr:from>
    <xdr:to>
      <xdr:col>10</xdr:col>
      <xdr:colOff>538349</xdr:colOff>
      <xdr:row>0</xdr:row>
      <xdr:rowOff>2097077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год">
              <a:extLst>
                <a:ext uri="{FF2B5EF4-FFF2-40B4-BE49-F238E27FC236}">
                  <a16:creationId xmlns:a16="http://schemas.microsoft.com/office/drawing/2014/main" xmlns="" id="{7E07A44D-3559-4CF7-9675-DB3AF08750FB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12000" y="1116000"/>
              <a:ext cx="5074724" cy="9810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0.18384</cdr:x>
      <cdr:y>0.93076</cdr:y>
    </cdr:from>
    <cdr:to>
      <cdr:x>0.24771</cdr:x>
      <cdr:y>1</cdr:y>
    </cdr:to>
    <cdr:sp macro="" textlink="">
      <cdr:nvSpPr>
        <cdr:cNvPr id="2" name="TextBox 29"/>
        <cdr:cNvSpPr txBox="1"/>
      </cdr:nvSpPr>
      <cdr:spPr>
        <a:xfrm xmlns:a="http://schemas.openxmlformats.org/drawingml/2006/main">
          <a:off x="1860550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0.30384</cdr:x>
      <cdr:y>0.93076</cdr:y>
    </cdr:from>
    <cdr:to>
      <cdr:x>0.36771</cdr:x>
      <cdr:y>1</cdr:y>
    </cdr:to>
    <cdr:sp macro="" textlink="">
      <cdr:nvSpPr>
        <cdr:cNvPr id="3" name="TextBox 29"/>
        <cdr:cNvSpPr txBox="1"/>
      </cdr:nvSpPr>
      <cdr:spPr>
        <a:xfrm xmlns:a="http://schemas.openxmlformats.org/drawingml/2006/main">
          <a:off x="3074987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2018</a:t>
          </a:r>
        </a:p>
      </cdr:txBody>
    </cdr:sp>
  </cdr:relSizeAnchor>
  <cdr:relSizeAnchor xmlns:cdr="http://schemas.openxmlformats.org/drawingml/2006/chartDrawing">
    <cdr:from>
      <cdr:x>0.41208</cdr:x>
      <cdr:y>0.93076</cdr:y>
    </cdr:from>
    <cdr:to>
      <cdr:x>0.47594</cdr:x>
      <cdr:y>1</cdr:y>
    </cdr:to>
    <cdr:sp macro="" textlink="">
      <cdr:nvSpPr>
        <cdr:cNvPr id="4" name="TextBox 29"/>
        <cdr:cNvSpPr txBox="1"/>
      </cdr:nvSpPr>
      <cdr:spPr>
        <a:xfrm xmlns:a="http://schemas.openxmlformats.org/drawingml/2006/main">
          <a:off x="4170362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0.52031</cdr:x>
      <cdr:y>0.93076</cdr:y>
    </cdr:from>
    <cdr:to>
      <cdr:x>0.58418</cdr:x>
      <cdr:y>1</cdr:y>
    </cdr:to>
    <cdr:sp macro="" textlink="">
      <cdr:nvSpPr>
        <cdr:cNvPr id="5" name="TextBox 29"/>
        <cdr:cNvSpPr txBox="1"/>
      </cdr:nvSpPr>
      <cdr:spPr>
        <a:xfrm xmlns:a="http://schemas.openxmlformats.org/drawingml/2006/main">
          <a:off x="5265737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0.6262</cdr:x>
      <cdr:y>0.93076</cdr:y>
    </cdr:from>
    <cdr:to>
      <cdr:x>0.69006</cdr:x>
      <cdr:y>1</cdr:y>
    </cdr:to>
    <cdr:sp macro="" textlink="">
      <cdr:nvSpPr>
        <cdr:cNvPr id="6" name="TextBox 29"/>
        <cdr:cNvSpPr txBox="1"/>
      </cdr:nvSpPr>
      <cdr:spPr>
        <a:xfrm xmlns:a="http://schemas.openxmlformats.org/drawingml/2006/main">
          <a:off x="6337300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0.73443</cdr:x>
      <cdr:y>0.93076</cdr:y>
    </cdr:from>
    <cdr:to>
      <cdr:x>0.7983</cdr:x>
      <cdr:y>1</cdr:y>
    </cdr:to>
    <cdr:sp macro="" textlink="">
      <cdr:nvSpPr>
        <cdr:cNvPr id="7" name="TextBox 29"/>
        <cdr:cNvSpPr txBox="1"/>
      </cdr:nvSpPr>
      <cdr:spPr>
        <a:xfrm xmlns:a="http://schemas.openxmlformats.org/drawingml/2006/main">
          <a:off x="7432675" y="4809523"/>
          <a:ext cx="646331" cy="35779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800">
              <a:latin typeface="Times New Roman" panose="02020603050405020304" pitchFamily="18" charset="0"/>
              <a:cs typeface="Times New Roman" panose="02020603050405020304" pitchFamily="18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0.83529</cdr:x>
      <cdr:y>0.95349</cdr:y>
    </cdr:from>
    <cdr:to>
      <cdr:x>0.91765</cdr:x>
      <cdr:y>0.9907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8453438" y="4881562"/>
          <a:ext cx="833438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1095375</xdr:colOff>
      <xdr:row>6</xdr:row>
      <xdr:rowOff>33337</xdr:rowOff>
    </xdr:from>
    <xdr:to>
      <xdr:col>12</xdr:col>
      <xdr:colOff>1028700</xdr:colOff>
      <xdr:row>20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E04F8B30-3D4E-4EA2-9B4C-71351F461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11</xdr:row>
      <xdr:rowOff>185737</xdr:rowOff>
    </xdr:from>
    <xdr:to>
      <xdr:col>7</xdr:col>
      <xdr:colOff>923925</xdr:colOff>
      <xdr:row>26</xdr:row>
      <xdr:rowOff>71437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CA48415B-191D-43B4-9E9D-DF1AA3EB6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23812</xdr:rowOff>
    </xdr:from>
    <xdr:to>
      <xdr:col>11</xdr:col>
      <xdr:colOff>1457325</xdr:colOff>
      <xdr:row>16</xdr:row>
      <xdr:rowOff>100012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9C69C52D-DD64-4B69-A0F4-309B43F12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11</xdr:row>
      <xdr:rowOff>185737</xdr:rowOff>
    </xdr:from>
    <xdr:to>
      <xdr:col>12</xdr:col>
      <xdr:colOff>447675</xdr:colOff>
      <xdr:row>26</xdr:row>
      <xdr:rowOff>71437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A8292C4-D3ED-4B86-89A5-FC12A959B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5419.368684953704" createdVersion="6" refreshedVersion="4" minRefreshableVersion="3" recordCount="48">
  <cacheSource type="worksheet">
    <worksheetSource name="Таблица3"/>
  </cacheSource>
  <cacheFields count="18">
    <cacheField name="группа" numFmtId="0">
      <sharedItems count="7">
        <s v="всего"/>
        <s v="нал ненал"/>
        <s v="ндфл"/>
        <s v="нсд"/>
        <s v="имущ"/>
        <s v="неналоги"/>
        <s v="МБТ"/>
      </sharedItems>
    </cacheField>
    <cacheField name="наименование" numFmtId="0">
      <sharedItems count="12">
        <s v="Всего доходов"/>
        <s v="Налоговые и неналоговые"/>
        <s v="НДФЛ"/>
        <s v="УСН"/>
        <s v="ЕНВД"/>
        <s v="ЕСХН"/>
        <s v="Патент"/>
        <s v="Налог на имущество физ. и юр. лиц"/>
        <s v="Земельный налог"/>
        <s v="Аренда муниципального имущества"/>
        <s v="Продажа муниципального имущества"/>
        <s v="БЕЗВОЗМЕЗДНЫЕ ПОСТУПЛЕНИЯ"/>
      </sharedItems>
    </cacheField>
    <cacheField name="год" numFmtId="0">
      <sharedItems containsSemiMixedTypes="0" containsString="0" containsNumber="1" containsInteger="1" minValue="2020" maxValue="2023" count="4">
        <n v="2020"/>
        <n v="2021"/>
        <n v="2022"/>
        <n v="2023"/>
      </sharedItems>
    </cacheField>
    <cacheField name="нач план" numFmtId="4">
      <sharedItems containsSemiMixedTypes="0" containsString="0" containsNumber="1" minValue="0" maxValue="2072.01587402"/>
    </cacheField>
    <cacheField name="ут план" numFmtId="4">
      <sharedItems containsSemiMixedTypes="0" containsString="0" containsNumber="1" minValue="0" maxValue="2072.01587402"/>
    </cacheField>
    <cacheField name="январь" numFmtId="4">
      <sharedItems containsSemiMixedTypes="0" containsString="0" containsNumber="1" minValue="-47.937074039999999" maxValue="114.59704120000001"/>
    </cacheField>
    <cacheField name="февраль" numFmtId="4">
      <sharedItems containsSemiMixedTypes="0" containsString="0" containsNumber="1" minValue="-2.4191002299999997" maxValue="122.19666599"/>
    </cacheField>
    <cacheField name="март" numFmtId="4">
      <sharedItems containsSemiMixedTypes="0" containsString="0" containsNumber="1" minValue="2.3362999999999998E-2" maxValue="208.33519728000002"/>
    </cacheField>
    <cacheField name="апрель" numFmtId="4">
      <sharedItems containsSemiMixedTypes="0" containsString="0" containsNumber="1" minValue="-0.13199710000000001" maxValue="300.91020773000002"/>
    </cacheField>
    <cacheField name="май" numFmtId="4">
      <sharedItems containsSemiMixedTypes="0" containsString="0" containsNumber="1" minValue="-6.4158698400000009" maxValue="249.2081038"/>
    </cacheField>
    <cacheField name="июнь" numFmtId="4">
      <sharedItems containsSemiMixedTypes="0" containsString="0" containsNumber="1" minValue="-8.255252000000142E-2" maxValue="103.75188057"/>
    </cacheField>
    <cacheField name="июль" numFmtId="4">
      <sharedItems containsSemiMixedTypes="0" containsString="0" containsNumber="1" minValue="-9.4252200000000015E-3" maxValue="146.85273574999994"/>
    </cacheField>
    <cacheField name="август" numFmtId="4">
      <sharedItems containsSemiMixedTypes="0" containsString="0" containsNumber="1" minValue="-0.18963668" maxValue="214.49017650999994"/>
    </cacheField>
    <cacheField name="сентябрь" numFmtId="4">
      <sharedItems containsSemiMixedTypes="0" containsString="0" containsNumber="1" minValue="0" maxValue="220.10035285999996"/>
    </cacheField>
    <cacheField name="октябрь" numFmtId="4">
      <sharedItems containsSemiMixedTypes="0" containsString="0" containsNumber="1" minValue="-8.3344699999999983E-3" maxValue="220.6045836000001"/>
    </cacheField>
    <cacheField name="ноябрь" numFmtId="4">
      <sharedItems containsSemiMixedTypes="0" containsString="0" containsNumber="1" minValue="-1.6557729999999982E-2" maxValue="184.56724841000008"/>
    </cacheField>
    <cacheField name="декабрь" numFmtId="4">
      <sharedItems containsSemiMixedTypes="0" containsString="0" containsNumber="1" minValue="-2.0757080000000018E-2" maxValue="279.11280029999989"/>
    </cacheField>
    <cacheField name="ИТОГО" numFmtId="4">
      <sharedItems containsSemiMixedTypes="0" containsString="0" containsNumber="1" minValue="-1.5395948400000004" maxValue="1904.5643152800001"/>
    </cacheField>
  </cacheFields>
  <extLst>
    <ext xmlns:x14="http://schemas.microsoft.com/office/spreadsheetml/2009/9/main" uri="{725AE2AE-9491-48be-B2B4-4EB974FC3084}">
      <x14:pivotCacheDefinition pivotCacheId="8254109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Автор" refreshedDate="45419.36868576389" createdVersion="6" refreshedVersion="4" minRefreshableVersion="3" recordCount="233">
  <cacheSource type="worksheet">
    <worksheetSource name="УТ_Данные"/>
  </cacheSource>
  <cacheFields count="6">
    <cacheField name="группа" numFmtId="0">
      <sharedItems count="13">
        <s v="показатель д1"/>
        <s v="налоги"/>
        <s v="показатель д2"/>
        <s v="неналоги"/>
        <s v="показатель д3"/>
        <s v="показатель р1"/>
        <s v="РзПр"/>
        <s v="показатель р2"/>
        <s v="МП"/>
        <s v="показатель р3"/>
        <s v="люди"/>
        <s v="мбт" u="1"/>
        <s v="общее" u="1"/>
      </sharedItems>
    </cacheField>
    <cacheField name="наименование" numFmtId="0">
      <sharedItems count="62" longText="1">
        <s v="НАЛОГОВЫЕ ДОХОДЫ"/>
        <s v="НДФЛ"/>
        <s v="Акцизы по подакцизным товарам (продукции), производимым на территории Российской Федерации"/>
        <s v="НАЛОГИ НА СОВОКУПНЫЙ ДОХОД"/>
        <s v="Налог, взимаемый в связи с применением упрощенной системы налогообложения"/>
        <s v="Единый налог на вмененный доход для отдельных видов деятельности"/>
        <s v="Единый сельскохозяйственный налог"/>
        <s v="Налог, взимаемый в связи с применением патентной системы налогообложения"/>
        <s v="НАЛОГИ НА ИМУЩЕСТВО"/>
        <s v="Налог на имущество физических лиц"/>
        <s v="Налог на имущество организаций"/>
        <s v="Налог на добычу полезных ископаемых"/>
        <s v="Земельный налог с организаций"/>
        <s v="Земельный налог с физических лиц"/>
        <s v="Налоги, сборы и регулярные платежи за пользование природными ресурсами"/>
        <s v="ГОСУДАРСТВЕННАЯ ПОШЛИНА"/>
        <s v="ЗАДОЛЖЕННОСТЬ И ПЕРЕРАСЧЕТЫ ПО ОТМЕНЕННЫМ НАЛОГАМ, СБОРАМ И ИНЫМ ОБЯЗАТЕЛЬНЫМ ПЛАТЕЖАМ"/>
        <s v="НЕНАЛОГОВЫЕ ДОХОДЫ"/>
        <s v="ДОХОДЫ ОТ ИСПОЛЬЗОВАНИЯ ИМУЩЕСТВА, НАХОДЯЩЕГОСЯ В ГОСУДАРСТВЕННОЙ И МУНИЦИПАЛЬНОЙ СОБСТВЕННОСТИ"/>
        <s v="ПЛАТЕЖИ ПРИ ПОЛЬЗОВАНИИ ПРИРОДНЫМИ РЕСУРСАМИ"/>
        <s v="ДОХОДЫ ОТ ОКАЗАНИЯ ПЛАТНЫХ УСЛУГ И КОМПЕНСАЦИИ ЗАТРАТ ГОСУДАРСТВА"/>
        <s v="ДОХОДЫ ОТ ПРОДАЖИ МАТЕРИАЛЬНЫХ И НЕМАТЕРИАЛЬНЫХ АКТИВОВ"/>
        <s v="ШТРАФЫ, САНКЦИИ, ВОЗМЕЩЕНИЕ УЩЕРБА"/>
        <s v="ПРОЧИЕ НЕНАЛОГОВЫЕ ДОХОДЫ"/>
        <s v="МБТ"/>
        <s v="РАСХОДЫ ВСЕГО"/>
        <s v="ОБРАЗОВАНИЕ"/>
        <s v="ЖИЛИЩНО-КОММУНАЛЬНОЕ ХОЗЯЙСТВО"/>
        <s v="НАЦИОНАЛЬНАЯ ЭКОНОМИКА"/>
        <s v="НАЦИОНАЛЬНАЯ ЭКОНОМИКА1"/>
        <s v="ОБЩЕГОСУДАРСТВЕННЫЕ ВОПРОСЫ"/>
        <s v="ОБЩЕГОСУДАРСТВЕННЫЕ ВОПРОСЫ1"/>
        <s v="ОБЩЕГОСУДАРСТВЕННЫЕ ВОПРОСЫ2"/>
        <s v="СОЦИАЛЬНАЯ ПОЛИТИКА"/>
        <s v="КУЛЬТУРА, КИНЕМАТОГРАФИЯ"/>
        <s v="ФИЗИЧЕСКАЯ КУЛЬТУРА И СПОРТ"/>
        <s v="Другое (ОХРАНА ОКРУЖАЮЩЕЙ СРЕДЫ, СМИ, НАЦ.БЕЗ)"/>
        <s v="прогр"/>
        <s v="Развитие архивного дела в городском округе город Кумертау Республики Башкортостан"/>
        <s v="Снижение рисков и смягчение последствий чрезвычайных ситуаций природного и техногенного характера в городском округе город Кумертау Республики Башкортостан"/>
        <s v="Развитие улично-дорожной сети городского округа город Кумертау Республики Башкортостан"/>
        <s v="Обеспечение общественной безопасности в городском округе город Кумертау Республики Башкортостан"/>
        <s v="Реализация государственной национальной политики в городском округе город Кумертау Республики Башкортостан"/>
        <s v="Развитие системы общего и дополнительного образования"/>
        <s v="Развитие молодежной политики в городском округе город Кумертау Республики Башкортостан"/>
        <s v="Развитие культуры городского округа город Кумертау Республики Башкортостан"/>
        <s v="Развитие физической культуры и спорта в городском округе город Кумертау Республики Башкортостан"/>
        <s v="Поддержка малого и среднего предпринимательства в городском округе город Кумертау Республики Башкортостан"/>
        <s v="Модернизация и реформирование жилищно-коммунального хозяйства городского округа город Кумертау Республики Башкортостан"/>
        <s v="Пподдержка молодых семей городского округа город Кумертау Республики Башкортостан, нуждающихся в улучшении жилищных условий"/>
        <s v="Обеспечение жильем детей 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 в городском округе город Кумертау Республики Башкортостан"/>
        <s v="Развитие муниципальной службы в городском округе город Кумертау Республики Башкортостан"/>
        <s v="Адресная программа городского округа город Кумертау Республики Башкортостан по переселению граждан из аварийного жилищного фонда"/>
        <s v="непрогр"/>
        <s v="Непрограммные расходы"/>
        <s v="Земельный налог"/>
        <s v="Управление муниципальными финансами городского округа город Кумертау Республики Башкортостан"/>
        <s v="Формирование современной городской среды на территории городского округа город Кумертау Республики Башкортостан"/>
        <s v="Программа по устройству дополнительного мягкого покрытия на благоустроенных дворовых территориях по подпрограмме &quot;Башкирские дворики&quot;"/>
        <s v="ЧИСЛЕННОСТЬ"/>
        <s v="Налои, сборы и регулярные платежи за пользование природными ресурсами" u="1"/>
        <s v="НАЦИОНАЛЬНАЯ ЭКОНОМИКА2" u="1"/>
      </sharedItems>
    </cacheField>
    <cacheField name="вид" numFmtId="0">
      <sharedItems count="3">
        <s v="доход"/>
        <s v="расход"/>
        <s v="население"/>
      </sharedItems>
    </cacheField>
    <cacheField name="год" numFmtId="0">
      <sharedItems containsSemiMixedTypes="0" containsString="0" containsNumber="1" containsInteger="1" minValue="2020" maxValue="2026" count="7">
        <n v="2023"/>
        <n v="2024"/>
        <n v="2025"/>
        <n v="2026"/>
        <n v="2022" u="1"/>
        <n v="2020" u="1"/>
        <n v="2021" u="1"/>
      </sharedItems>
    </cacheField>
    <cacheField name="план" numFmtId="164">
      <sharedItems containsString="0" containsBlank="1" containsNumber="1" minValue="0" maxValue="2068511.3965699996"/>
    </cacheField>
    <cacheField name="факт" numFmtId="0">
      <sharedItems containsString="0" containsBlank="1" containsNumber="1" minValue="-31427.399999999907" maxValue="1808822.8"/>
    </cacheField>
  </cacheFields>
  <extLst>
    <ext xmlns:x14="http://schemas.microsoft.com/office/spreadsheetml/2009/9/main" uri="{725AE2AE-9491-48be-B2B4-4EB974FC3084}">
      <x14:pivotCacheDefinition pivotCacheId="21419268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x v="0"/>
    <x v="0"/>
    <x v="0"/>
    <n v="1400.574736"/>
    <n v="1545.19071874"/>
    <n v="114.59704120000001"/>
    <n v="99.521032290000008"/>
    <n v="88.088821440000004"/>
    <n v="184.30393232"/>
    <n v="89.51425435000003"/>
    <n v="75.571499110000019"/>
    <n v="111.84079749000001"/>
    <n v="101.8913489799999"/>
    <n v="187.84213112"/>
    <n v="174.62929294000006"/>
    <n v="109.1506246400001"/>
    <n v="228.02816398999977"/>
    <n v="1564.97893987"/>
  </r>
  <r>
    <x v="1"/>
    <x v="1"/>
    <x v="0"/>
    <n v="466.00800000000004"/>
    <n v="440.67577000000006"/>
    <n v="41.447455600000012"/>
    <n v="32.994732290000002"/>
    <n v="34.960667090000008"/>
    <n v="39.741006019999986"/>
    <n v="22.098887930000018"/>
    <n v="30.156218980000027"/>
    <n v="47.905076190000003"/>
    <n v="30.846285449999939"/>
    <n v="34.354272919999971"/>
    <n v="54.290234550000065"/>
    <n v="41.057574850000137"/>
    <n v="60.555875039999734"/>
    <n v="470.4082869099999"/>
  </r>
  <r>
    <x v="2"/>
    <x v="2"/>
    <x v="0"/>
    <n v="266.428"/>
    <n v="253.36349999999999"/>
    <n v="15.574180119999999"/>
    <n v="23.611851970000007"/>
    <n v="22.329753659999998"/>
    <n v="16.781248609999999"/>
    <n v="14.414470010000006"/>
    <n v="21.852066519999997"/>
    <n v="23.594129779999985"/>
    <n v="22.206769770000012"/>
    <n v="22.506284999999998"/>
    <n v="23.897058770000012"/>
    <n v="24.343005799999982"/>
    <n v="41.071586050000015"/>
    <n v="272.18240606000001"/>
  </r>
  <r>
    <x v="3"/>
    <x v="3"/>
    <x v="0"/>
    <n v="33"/>
    <n v="31.38"/>
    <n v="1.7909120300000001"/>
    <n v="2.2249622499999999"/>
    <n v="4.2648911500000004"/>
    <n v="4.3076198300000001"/>
    <n v="2.2709772799999994"/>
    <n v="1.0495953800000009"/>
    <n v="4.2825377599999994"/>
    <n v="1.9362594100000001"/>
    <n v="2.7797282199999986"/>
    <n v="5.3261447900000025"/>
    <n v="1.841914919999998"/>
    <n v="2.2869854899999984"/>
    <n v="34.362528510000004"/>
  </r>
  <r>
    <x v="3"/>
    <x v="4"/>
    <x v="0"/>
    <n v="16.8"/>
    <n v="13.5"/>
    <n v="4.4619260499999998"/>
    <n v="0.18886977000000049"/>
    <n v="0.30026919999999924"/>
    <n v="2.5183508000000008"/>
    <n v="0.45082879000000003"/>
    <n v="0.13799051999999956"/>
    <n v="1.71993796"/>
    <n v="0.31486524000000021"/>
    <n v="0.14817524000000024"/>
    <n v="2.8523731299999988"/>
    <n v="0.31125245000000112"/>
    <n v="0.12481866000000015"/>
    <n v="13.52965781"/>
  </r>
  <r>
    <x v="3"/>
    <x v="5"/>
    <x v="0"/>
    <n v="1.4999999999999999E-2"/>
    <n v="0.125"/>
    <n v="1E-4"/>
    <n v="1.3799999999999999E-4"/>
    <n v="2.3362999999999998E-2"/>
    <n v="2.3895000000000001E-3"/>
    <n v="-1.3545E-3"/>
    <n v="1.1294999999999999E-2"/>
    <n v="-5.9030600000000016E-3"/>
    <n v="0"/>
    <n v="7.2164099999999995E-3"/>
    <n v="-8.3344699999999983E-3"/>
    <n v="-3.9881999999999971E-4"/>
    <n v="0.27007500000000001"/>
    <n v="0.29858605999999999"/>
  </r>
  <r>
    <x v="3"/>
    <x v="6"/>
    <x v="0"/>
    <n v="1.9390000000000001"/>
    <n v="1.65"/>
    <n v="8.2292950000000004E-2"/>
    <n v="4.4445510000000008E-2"/>
    <n v="0.25195932999999998"/>
    <n v="3.0357010000000011E-2"/>
    <n v="5.2076900000000027E-3"/>
    <n v="0.14639350000000001"/>
    <n v="5.3801930000000053E-2"/>
    <n v="2.3088329999999959E-2"/>
    <n v="0.13282685999999999"/>
    <n v="3.0467459999999964E-2"/>
    <n v="0.26711330000000016"/>
    <n v="0.49470712999999988"/>
    <n v="1.5626610000000001"/>
  </r>
  <r>
    <x v="4"/>
    <x v="7"/>
    <x v="0"/>
    <n v="20.183"/>
    <n v="19.55"/>
    <n v="0.90432848000000043"/>
    <n v="-7.503005000000075E-2"/>
    <n v="0.58166904999999891"/>
    <n v="0.78015641999999996"/>
    <n v="0.24376930999999866"/>
    <n v="0.16494338000000269"/>
    <n v="0.92031589000000436"/>
    <n v="0.3636971199999936"/>
    <n v="0.76730552000000329"/>
    <n v="3.9742790099999943"/>
    <n v="7.8530444800000039"/>
    <n v="4.946251229999997"/>
    <n v="21.424729839999998"/>
  </r>
  <r>
    <x v="4"/>
    <x v="8"/>
    <x v="0"/>
    <n v="23.98"/>
    <n v="40.5"/>
    <n v="10.26354319"/>
    <n v="2.1285270400000011"/>
    <n v="0.37687432000000032"/>
    <n v="7.9997260199999998"/>
    <n v="1.0309688000000008"/>
    <n v="0.40290723999999833"/>
    <n v="8.6104571099999987"/>
    <n v="0.53069808000000196"/>
    <n v="0.40242099999999997"/>
    <n v="7.7132699400000018"/>
    <n v="1.8722538799999953"/>
    <n v="2.009972690000005"/>
    <n v="43.341619309999999"/>
  </r>
  <r>
    <x v="5"/>
    <x v="9"/>
    <x v="0"/>
    <n v="50.25"/>
    <n v="41.4"/>
    <n v="5.3102859699999998"/>
    <n v="1.5603545300000004"/>
    <n v="4.6704238399999998"/>
    <n v="3.7237581400000006"/>
    <n v="1.2605517899999992"/>
    <n v="3.0279246200000012"/>
    <n v="4.2553342699999996"/>
    <n v="1.6284654699999987"/>
    <n v="4.2647671900000015"/>
    <n v="6.5986370000000001"/>
    <n v="1.8340025"/>
    <n v="4.3076861800000001"/>
    <n v="42.442191499999993"/>
  </r>
  <r>
    <x v="5"/>
    <x v="10"/>
    <x v="0"/>
    <n v="36.380000000000003"/>
    <n v="20.7"/>
    <n v="1.6415881699999999"/>
    <n v="1.5393652499999999"/>
    <n v="0.19161937999999989"/>
    <n v="2.1333517800000004"/>
    <n v="1.1820987000000003"/>
    <n v="2.0522065699999992"/>
    <n v="2.6298918200000001"/>
    <n v="1.9465846999999992"/>
    <n v="1.4226377800000012"/>
    <n v="2.2944349599999989"/>
    <n v="1.0317411700000019"/>
    <n v="3.3803485000000002"/>
    <n v="21.445868780000001"/>
  </r>
  <r>
    <x v="6"/>
    <x v="11"/>
    <x v="0"/>
    <n v="934.56673599999999"/>
    <n v="1104.5149487399999"/>
    <n v="73.149585599999995"/>
    <n v="66.526300000000006"/>
    <n v="53.128154349999996"/>
    <n v="144.56292630000002"/>
    <n v="67.415366420000012"/>
    <n v="45.415280129999992"/>
    <n v="63.935721300000012"/>
    <n v="71.045063529999965"/>
    <n v="153.48785820000003"/>
    <n v="120.33905838999999"/>
    <n v="68.093049789999966"/>
    <n v="167.47228895000003"/>
    <n v="1094.57065296"/>
  </r>
  <r>
    <x v="0"/>
    <x v="0"/>
    <x v="1"/>
    <n v="1371.6722933200001"/>
    <n v="1676.6358171500001"/>
    <n v="73.337764289999996"/>
    <n v="104.79650047000001"/>
    <n v="111.74994891999998"/>
    <n v="248.52653903000004"/>
    <n v="40.69877591999996"/>
    <n v="60.660071360000046"/>
    <n v="126.41026167999998"/>
    <n v="214.49017650999994"/>
    <n v="115.66740628000004"/>
    <n v="220.6045836000001"/>
    <n v="124.33947517999989"/>
    <n v="223.60002401000006"/>
    <n v="1664.8815272500001"/>
  </r>
  <r>
    <x v="1"/>
    <x v="1"/>
    <x v="1"/>
    <n v="437.6228000000001"/>
    <n v="438.26498144000016"/>
    <n v="26.780695739999999"/>
    <n v="32.97751971000001"/>
    <n v="40.995366749999988"/>
    <n v="44.956571539999999"/>
    <n v="25.266221019999982"/>
    <n v="30.396256820000026"/>
    <n v="43.644589669999988"/>
    <n v="26.562862250000023"/>
    <n v="39.397886329999992"/>
    <n v="56.301440530000036"/>
    <n v="46.375165979999963"/>
    <n v="68.684869630000065"/>
    <n v="482.33944597000004"/>
  </r>
  <r>
    <x v="2"/>
    <x v="2"/>
    <x v="1"/>
    <n v="257.84280000000001"/>
    <n v="260.84280000000001"/>
    <n v="14.84417822"/>
    <n v="24.215185870000006"/>
    <n v="23.165304819999992"/>
    <n v="22.999112350000008"/>
    <n v="16.930330929999993"/>
    <n v="20.279929549999999"/>
    <n v="23.26303789999999"/>
    <n v="21.249003680000008"/>
    <n v="26.230818030000002"/>
    <n v="31.48820099000001"/>
    <n v="24.952201569999993"/>
    <n v="43.75211669000003"/>
    <n v="293.36942060000007"/>
  </r>
  <r>
    <x v="3"/>
    <x v="3"/>
    <x v="1"/>
    <n v="33.380000000000003"/>
    <n v="36.479999999999997"/>
    <n v="1.2021276299999999"/>
    <n v="1.7402350900000003"/>
    <n v="3.7089639099999996"/>
    <n v="7.1106315499999999"/>
    <n v="2.4653442300000004"/>
    <n v="2.8347836200000009"/>
    <n v="5.4690018399999998"/>
    <n v="0.71352030999999871"/>
    <n v="1.3848972400000021"/>
    <n v="5.7124450099999979"/>
    <n v="1.7600098999999985"/>
    <n v="2.1146144100000037"/>
    <n v="36.216574739999999"/>
  </r>
  <r>
    <x v="3"/>
    <x v="4"/>
    <x v="1"/>
    <n v="4.26"/>
    <n v="2.2599999999999998"/>
    <n v="2.6209640699999999"/>
    <n v="9.6074470000000203E-2"/>
    <n v="8.0361439999999951E-2"/>
    <n v="-1.0901060000000056E-2"/>
    <n v="-0.27152358999999987"/>
    <n v="-4.5060180000000165E-2"/>
    <n v="3.9977330000000075E-2"/>
    <n v="7.0490400000000376E-3"/>
    <n v="3.2029209999999961E-2"/>
    <n v="6.2657149999999912E-2"/>
    <n v="-1.6557729999999982E-2"/>
    <n v="-2.5023500000000932E-3"/>
    <n v="2.5925677999999999"/>
  </r>
  <r>
    <x v="3"/>
    <x v="5"/>
    <x v="1"/>
    <n v="1.4999999999999999E-2"/>
    <n v="1.4999999999999999E-2"/>
    <n v="0"/>
    <n v="1.815E-3"/>
    <n v="3.5031E-2"/>
    <n v="2.8800000000000001E-4"/>
    <n v="7.6499999999999997E-3"/>
    <n v="0"/>
    <n v="-1.0889999999999418E-5"/>
    <n v="-1.0112999999999739E-4"/>
    <n v="0"/>
    <n v="0"/>
    <n v="-1.7888600000000006E-3"/>
    <n v="-9.4579000000000082E-4"/>
    <n v="4.1937329999999988E-2"/>
  </r>
  <r>
    <x v="3"/>
    <x v="6"/>
    <x v="1"/>
    <n v="1.8"/>
    <n v="8.8000000000000007"/>
    <n v="0.19681451"/>
    <n v="0.33117395999999999"/>
    <n v="1.8642582100000002"/>
    <n v="0.83999263999999962"/>
    <n v="0.32882677000000005"/>
    <n v="0.73160302000000044"/>
    <n v="0.43628485999999939"/>
    <n v="0.2198440100000007"/>
    <n v="0.41532719999999923"/>
    <n v="0.38828652000000047"/>
    <n v="0.50229320999999993"/>
    <n v="2.3868428499999998"/>
    <n v="8.6415477600000017"/>
  </r>
  <r>
    <x v="4"/>
    <x v="7"/>
    <x v="1"/>
    <n v="18.914999999999999"/>
    <n v="17.914999999999999"/>
    <n v="0.62132487999999997"/>
    <n v="0.24708563999999997"/>
    <n v="0.54782553"/>
    <n v="0.82265625000000009"/>
    <n v="0.26015173999999996"/>
    <n v="0.1728231399999999"/>
    <n v="0.69289076000000005"/>
    <n v="0.36374191000000017"/>
    <n v="0.49874822999999996"/>
    <n v="5.6480664200000001"/>
    <n v="8.7584022699999995"/>
    <n v="6.8910218100000007"/>
    <n v="25.524738580000001"/>
  </r>
  <r>
    <x v="4"/>
    <x v="8"/>
    <x v="1"/>
    <n v="32.28"/>
    <n v="22.18"/>
    <n v="1.0558455"/>
    <n v="1.8281887400000003"/>
    <n v="1.15996813"/>
    <n v="4.1161061299999995"/>
    <n v="0.20453111000000035"/>
    <n v="0.43380270999999998"/>
    <n v="4.7958401999999989"/>
    <n v="0.38006332000000032"/>
    <n v="0.28544698000000046"/>
    <n v="6.1430391900000014"/>
    <n v="1.5858941600000001"/>
    <n v="1.9874810000000001"/>
    <n v="23.976207169999995"/>
  </r>
  <r>
    <x v="5"/>
    <x v="9"/>
    <x v="1"/>
    <n v="43.4"/>
    <n v="42.5"/>
    <n v="4.0506339200000001"/>
    <n v="1.9571513899999997"/>
    <n v="3.0381713099999996"/>
    <n v="4.7876039100000005"/>
    <n v="2.6355817500000001"/>
    <n v="2.6637942999999988"/>
    <n v="5.9398164600000012"/>
    <n v="0.92109540000000223"/>
    <n v="2.8011038899999967"/>
    <n v="2.6303743700000011"/>
    <n v="4.1546598799999988"/>
    <n v="6.805157690000005"/>
    <n v="42.385144270000012"/>
  </r>
  <r>
    <x v="5"/>
    <x v="10"/>
    <x v="1"/>
    <n v="27"/>
    <n v="23.71"/>
    <n v="0.89958395999999996"/>
    <n v="1.6450056800000001"/>
    <n v="1.4995406299999998"/>
    <n v="2.2913419400000001"/>
    <n v="1.1598023399999999"/>
    <n v="1.6563128400000007"/>
    <n v="1.225311"/>
    <n v="1.1356689900000003"/>
    <n v="6.0222814900000001"/>
    <n v="1.6865430899999998"/>
    <n v="2.3156266699999981"/>
    <n v="2.1564861799999999"/>
    <n v="23.69350481"/>
  </r>
  <r>
    <x v="6"/>
    <x v="11"/>
    <x v="1"/>
    <n v="934.04949332000001"/>
    <n v="1238.3708357099999"/>
    <n v="46.557068549999997"/>
    <n v="71.818980760000002"/>
    <n v="70.754582169999992"/>
    <n v="203.56996749000004"/>
    <n v="15.432554899999976"/>
    <n v="30.26381454000002"/>
    <n v="82.765672009999989"/>
    <n v="187.92731425999992"/>
    <n v="76.269519950000046"/>
    <n v="164.30314307000006"/>
    <n v="77.964309199999931"/>
    <n v="154.91515437999999"/>
    <n v="1182.5420812799998"/>
  </r>
  <r>
    <x v="0"/>
    <x v="0"/>
    <x v="2"/>
    <n v="1595.7437723800001"/>
    <n v="1883.4855641099998"/>
    <n v="69.466558910000003"/>
    <n v="122.19666599"/>
    <n v="116.03434684999999"/>
    <n v="216.56281995000003"/>
    <n v="169.01193190000001"/>
    <n v="103.75188057"/>
    <n v="146.85273574999994"/>
    <n v="130.7984385900001"/>
    <n v="220.10035285999996"/>
    <n v="146.10853519999998"/>
    <n v="184.56724841000008"/>
    <n v="279.11280029999989"/>
    <n v="1904.5643152800001"/>
  </r>
  <r>
    <x v="1"/>
    <x v="1"/>
    <x v="2"/>
    <n v="461.90000000000009"/>
    <n v="503.57406432999983"/>
    <n v="23.118744340000006"/>
    <n v="44.191887989999998"/>
    <n v="43.365675719999999"/>
    <n v="46.057264349999997"/>
    <n v="33.74228248"/>
    <n v="35.706618680000005"/>
    <n v="55.348209679999997"/>
    <n v="38.847747180000013"/>
    <n v="38.909645709999978"/>
    <n v="62.100760919999999"/>
    <n v="48.133492259999969"/>
    <n v="71.734051660000034"/>
    <n v="541.25638097000001"/>
  </r>
  <r>
    <x v="2"/>
    <x v="2"/>
    <x v="2"/>
    <n v="295.10000000000002"/>
    <n v="295.10000000000002"/>
    <n v="11.158320160000001"/>
    <n v="24.889711389999995"/>
    <n v="25.051955730000003"/>
    <n v="19.673042670000001"/>
    <n v="20.480385569999992"/>
    <n v="24.188138439999996"/>
    <n v="30.112403130000011"/>
    <n v="27.564713620000006"/>
    <n v="27.189244929999976"/>
    <n v="30.53226071000001"/>
    <n v="26.983225539999992"/>
    <n v="47.484294230000017"/>
    <n v="315.30769611999995"/>
  </r>
  <r>
    <x v="3"/>
    <x v="3"/>
    <x v="2"/>
    <n v="34.1"/>
    <n v="49.4"/>
    <n v="3.2357777099999998"/>
    <n v="1.9869015499999998"/>
    <n v="5.8000538000000006"/>
    <n v="9.1783837000000013"/>
    <n v="5.292519969999999"/>
    <n v="3.0520892399999981"/>
    <n v="7.2016621700000014"/>
    <n v="2.375920509999998"/>
    <n v="0.86134457000000031"/>
    <n v="10.216066210000001"/>
    <n v="2.5580688900000008"/>
    <n v="3.0385551799999999"/>
    <n v="54.797343500000004"/>
  </r>
  <r>
    <x v="3"/>
    <x v="4"/>
    <x v="2"/>
    <n v="0"/>
    <n v="0"/>
    <n v="1.1087999999999998E-3"/>
    <n v="-9.038099999999999E-4"/>
    <n v="3.3168530000000002E-2"/>
    <n v="-0.13199710000000001"/>
    <n v="-4.0370299999999987E-3"/>
    <n v="2.4406009999999995E-2"/>
    <n v="-9.4252200000000015E-3"/>
    <n v="-0.18963668"/>
    <n v="2.6932149999999995E-2"/>
    <n v="5.5763059999999996E-2"/>
    <n v="-2.6472699999999893E-3"/>
    <n v="-2.0757080000000018E-2"/>
    <n v="-0.21802564000000002"/>
  </r>
  <r>
    <x v="3"/>
    <x v="5"/>
    <x v="2"/>
    <n v="4.4999999999999998E-2"/>
    <n v="7.1999999999999995E-2"/>
    <n v="0"/>
    <n v="0"/>
    <n v="6.6056000000000004E-2"/>
    <n v="9.7179999999999992E-3"/>
    <n v="0"/>
    <n v="0"/>
    <n v="1.7697700000000041E-3"/>
    <n v="0"/>
    <n v="2.1656999999999243E-4"/>
    <n v="0"/>
    <n v="0"/>
    <n v="5.8647000000000115E-4"/>
    <n v="7.8346810000000017E-2"/>
  </r>
  <r>
    <x v="3"/>
    <x v="6"/>
    <x v="2"/>
    <n v="5.97"/>
    <n v="9"/>
    <n v="0.54634201000000004"/>
    <n v="0.52271698"/>
    <n v="1.9744000599999998"/>
    <n v="1.3719498300000001"/>
    <n v="0.73261237000000012"/>
    <n v="0.65430441999999989"/>
    <n v="0.43748903000000028"/>
    <n v="0.15832012999999989"/>
    <n v="0.38570904999999983"/>
    <n v="0.66812416999999991"/>
    <n v="0.43680831000000053"/>
    <n v="3.48634054"/>
    <n v="11.3751169"/>
  </r>
  <r>
    <x v="4"/>
    <x v="7"/>
    <x v="2"/>
    <n v="18.45"/>
    <n v="23.9"/>
    <n v="0.39939773000000001"/>
    <n v="0.33147027000000001"/>
    <n v="0.47382929999999995"/>
    <n v="0.69692404999999991"/>
    <n v="0.41416810000000009"/>
    <n v="0.11248296999999997"/>
    <n v="0.65925582000000005"/>
    <n v="0.25613570999999996"/>
    <n v="2.1528685700000003"/>
    <n v="4.0686078999999999"/>
    <n v="10.392069529999999"/>
    <n v="5.4145475700000043"/>
    <n v="25.371757520000003"/>
  </r>
  <r>
    <x v="4"/>
    <x v="8"/>
    <x v="2"/>
    <n v="18.940000000000001"/>
    <n v="29.8"/>
    <n v="1.1922921799999999"/>
    <n v="2.7221659900000001"/>
    <n v="0.34466862000000009"/>
    <n v="7.1789427899999998"/>
    <n v="0.95953455000000076"/>
    <n v="-8.255252000000142E-2"/>
    <n v="7.7099111999999996"/>
    <n v="0.38266444000000133"/>
    <n v="1.1345497399999984"/>
    <n v="8.1983479000000017"/>
    <n v="1.3592727800000013"/>
    <n v="1.4141430999999978"/>
    <n v="32.513940769999998"/>
  </r>
  <r>
    <x v="5"/>
    <x v="9"/>
    <x v="2"/>
    <n v="44.7"/>
    <n v="46.299599999999998"/>
    <n v="2.74592225"/>
    <n v="2.64054945"/>
    <n v="5.7517457800000003"/>
    <n v="5.2810740399999991"/>
    <n v="2.7579893700000011"/>
    <n v="3.4306149100000001"/>
    <n v="4.5341673000000009"/>
    <n v="4.5719898799999994"/>
    <n v="3.0021063700000012"/>
    <n v="4.9720750000000002"/>
    <n v="2.6244939499999957"/>
    <n v="5.8833005800000056"/>
    <n v="48.19602888"/>
  </r>
  <r>
    <x v="5"/>
    <x v="10"/>
    <x v="2"/>
    <n v="25.4"/>
    <n v="14.574999999999999"/>
    <n v="1.1500598500000001"/>
    <n v="1.0734659899999996"/>
    <n v="1.3707497099999999"/>
    <n v="1.1828404400000003"/>
    <n v="1.06427837"/>
    <n v="0.99797849999999999"/>
    <n v="1.6427506299999999"/>
    <n v="1.0668352899999991"/>
    <n v="1.2284592599999997"/>
    <n v="1.0372229700000006"/>
    <n v="1.6857971099999993"/>
    <n v="2.8331978200000001"/>
    <n v="16.333635939999997"/>
  </r>
  <r>
    <x v="6"/>
    <x v="11"/>
    <x v="2"/>
    <n v="1133.84377238"/>
    <n v="1379.91149978"/>
    <n v="46.347814569999997"/>
    <n v="78.004778000000002"/>
    <n v="72.668671129999993"/>
    <n v="170.50555560000004"/>
    <n v="135.26964942000001"/>
    <n v="68.045261889999992"/>
    <n v="91.50452606999994"/>
    <n v="91.95069141000009"/>
    <n v="181.19070714999998"/>
    <n v="84.007774279999978"/>
    <n v="136.43375615000011"/>
    <n v="207.37874863999986"/>
    <n v="1363.3079343100001"/>
  </r>
  <r>
    <x v="0"/>
    <x v="0"/>
    <x v="3"/>
    <n v="2072.01587402"/>
    <n v="2072.01587402"/>
    <n v="-31.568055099999999"/>
    <n v="83.081958909999997"/>
    <n v="208.33519728000002"/>
    <n v="300.91020773000002"/>
    <n v="249.2081038"/>
    <n v="0"/>
    <n v="0"/>
    <n v="0"/>
    <n v="0"/>
    <n v="0"/>
    <n v="0"/>
    <n v="0"/>
    <n v="809.96741262000012"/>
  </r>
  <r>
    <x v="1"/>
    <x v="1"/>
    <x v="3"/>
    <n v="528.55530744999999"/>
    <n v="528.55530744999999"/>
    <n v="16.36901894"/>
    <n v="0.7809049700000017"/>
    <n v="69.583444100000008"/>
    <n v="192.75809292000002"/>
    <n v="33.671428110000015"/>
    <n v="0"/>
    <n v="0"/>
    <n v="0"/>
    <n v="0"/>
    <n v="0"/>
    <n v="0"/>
    <n v="0"/>
    <n v="313.16288904000004"/>
  </r>
  <r>
    <x v="2"/>
    <x v="2"/>
    <x v="3"/>
    <n v="319.6028"/>
    <n v="319.6028"/>
    <n v="7.6541764000000008"/>
    <n v="-7.1474850000001311E-2"/>
    <n v="35.292583140000005"/>
    <n v="158.07564894999999"/>
    <n v="28.219215500000001"/>
    <n v="0"/>
    <n v="0"/>
    <n v="0"/>
    <n v="0"/>
    <n v="0"/>
    <n v="0"/>
    <n v="0"/>
    <n v="229.17014913999998"/>
  </r>
  <r>
    <x v="3"/>
    <x v="3"/>
    <x v="3"/>
    <n v="60"/>
    <n v="60"/>
    <n v="3.8279731699999999"/>
    <n v="-2.4191002299999997"/>
    <n v="12.334213460000001"/>
    <n v="18.242600779999997"/>
    <n v="1.9540962599999978"/>
    <n v="0"/>
    <n v="0"/>
    <n v="0"/>
    <n v="0"/>
    <n v="0"/>
    <n v="0"/>
    <n v="0"/>
    <n v="33.939783439999999"/>
  </r>
  <r>
    <x v="3"/>
    <x v="4"/>
    <x v="3"/>
    <n v="0"/>
    <n v="0"/>
    <n v="-0.25132083999999999"/>
    <n v="-8.664800000000028E-3"/>
    <n v="5.3534700000000018E-2"/>
    <n v="1.4670679999999992E-2"/>
    <n v="1.369297E-2"/>
    <n v="0"/>
    <n v="0"/>
    <n v="0"/>
    <n v="0"/>
    <n v="0"/>
    <n v="0"/>
    <n v="0"/>
    <n v="-0.17808729000000001"/>
  </r>
  <r>
    <x v="3"/>
    <x v="5"/>
    <x v="3"/>
    <n v="0"/>
    <n v="0"/>
    <n v="0"/>
    <n v="-5.4000000000000001E-4"/>
    <n v="3.7689E-2"/>
    <n v="0"/>
    <n v="0"/>
    <n v="0"/>
    <n v="0"/>
    <n v="0"/>
    <n v="0"/>
    <n v="0"/>
    <n v="0"/>
    <n v="0"/>
    <n v="3.7149000000000001E-2"/>
  </r>
  <r>
    <x v="3"/>
    <x v="6"/>
    <x v="3"/>
    <n v="9.1"/>
    <n v="9.1"/>
    <n v="-0.65145651999999998"/>
    <n v="-0.43984168999999995"/>
    <n v="0.31955566999999985"/>
    <n v="3.83401046"/>
    <n v="0.33477733999999987"/>
    <n v="0"/>
    <n v="0"/>
    <n v="0"/>
    <n v="0"/>
    <n v="0"/>
    <n v="0"/>
    <n v="0"/>
    <n v="3.3970452600000001"/>
  </r>
  <r>
    <x v="4"/>
    <x v="7"/>
    <x v="3"/>
    <n v="25"/>
    <n v="25"/>
    <n v="-0.42751341999999998"/>
    <n v="-2.2886804500000002"/>
    <n v="0.99284920999999993"/>
    <n v="0.29029824999999976"/>
    <n v="-0.10654842999999993"/>
    <n v="0"/>
    <n v="0"/>
    <n v="0"/>
    <n v="0"/>
    <n v="0"/>
    <n v="0"/>
    <n v="0"/>
    <n v="-1.5395948400000004"/>
  </r>
  <r>
    <x v="4"/>
    <x v="8"/>
    <x v="3"/>
    <n v="28.8"/>
    <n v="28.8"/>
    <n v="-7.9522280000000001E-2"/>
    <n v="2.6100530000000004E-2"/>
    <n v="6.0310589600000002"/>
    <n v="4.0057962500000004"/>
    <n v="-6.4158698400000009"/>
    <n v="0"/>
    <n v="0"/>
    <n v="0"/>
    <n v="0"/>
    <n v="0"/>
    <n v="0"/>
    <n v="0"/>
    <n v="3.5675636199999996"/>
  </r>
  <r>
    <x v="5"/>
    <x v="9"/>
    <x v="3"/>
    <n v="45"/>
    <n v="45"/>
    <n v="4.7489869300000001"/>
    <n v="3.2366148600000004"/>
    <n v="4.9862819899999984"/>
    <n v="4.9019872700000029"/>
    <n v="3.6570602399999985"/>
    <n v="0"/>
    <n v="0"/>
    <n v="0"/>
    <n v="0"/>
    <n v="0"/>
    <n v="0"/>
    <n v="0"/>
    <n v="21.530931290000002"/>
  </r>
  <r>
    <x v="5"/>
    <x v="10"/>
    <x v="3"/>
    <n v="20"/>
    <n v="20"/>
    <n v="0.75388895"/>
    <n v="0.76862941000000007"/>
    <n v="1.8006193099999999"/>
    <n v="0.79715665000000024"/>
    <n v="4.258306300000001"/>
    <n v="0"/>
    <n v="0"/>
    <n v="0"/>
    <n v="0"/>
    <n v="0"/>
    <n v="0"/>
    <n v="0"/>
    <n v="8.3786006200000003"/>
  </r>
  <r>
    <x v="6"/>
    <x v="11"/>
    <x v="3"/>
    <n v="1543.4605665699999"/>
    <n v="1543.4605665699999"/>
    <n v="-47.937074039999999"/>
    <n v="82.301053940000003"/>
    <n v="138.75175318000001"/>
    <n v="108.15211480999997"/>
    <n v="215.53667569000001"/>
    <n v="0"/>
    <n v="0"/>
    <n v="0"/>
    <n v="0"/>
    <n v="0"/>
    <n v="0"/>
    <n v="0"/>
    <n v="496.8045235800000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x v="0"/>
    <x v="0"/>
    <x v="0"/>
    <x v="0"/>
    <n v="374668.67"/>
    <n v="323433"/>
  </r>
  <r>
    <x v="1"/>
    <x v="1"/>
    <x v="0"/>
    <x v="0"/>
    <n v="253363.5"/>
    <n v="236079.2"/>
  </r>
  <r>
    <x v="1"/>
    <x v="2"/>
    <x v="0"/>
    <x v="0"/>
    <n v="6450"/>
    <n v="43518.3"/>
  </r>
  <r>
    <x v="1"/>
    <x v="3"/>
    <x v="0"/>
    <x v="0"/>
    <n v="46655"/>
    <n v="7790.6"/>
  </r>
  <r>
    <x v="1"/>
    <x v="4"/>
    <x v="0"/>
    <x v="0"/>
    <n v="31380"/>
    <m/>
  </r>
  <r>
    <x v="1"/>
    <x v="5"/>
    <x v="0"/>
    <x v="0"/>
    <n v="13500"/>
    <m/>
  </r>
  <r>
    <x v="1"/>
    <x v="6"/>
    <x v="0"/>
    <x v="0"/>
    <n v="125"/>
    <m/>
  </r>
  <r>
    <x v="1"/>
    <x v="7"/>
    <x v="0"/>
    <x v="0"/>
    <n v="1650"/>
    <m/>
  </r>
  <r>
    <x v="1"/>
    <x v="8"/>
    <x v="0"/>
    <x v="0"/>
    <n v="60050"/>
    <n v="32843.800000000003"/>
  </r>
  <r>
    <x v="1"/>
    <x v="9"/>
    <x v="0"/>
    <x v="0"/>
    <n v="17100"/>
    <m/>
  </r>
  <r>
    <x v="1"/>
    <x v="10"/>
    <x v="0"/>
    <x v="0"/>
    <n v="2450"/>
    <m/>
  </r>
  <r>
    <x v="1"/>
    <x v="11"/>
    <x v="0"/>
    <x v="0"/>
    <n v="40500"/>
    <m/>
  </r>
  <r>
    <x v="1"/>
    <x v="12"/>
    <x v="0"/>
    <x v="0"/>
    <n v="36500"/>
    <m/>
  </r>
  <r>
    <x v="1"/>
    <x v="13"/>
    <x v="0"/>
    <x v="0"/>
    <n v="4000"/>
    <m/>
  </r>
  <r>
    <x v="1"/>
    <x v="14"/>
    <x v="0"/>
    <x v="0"/>
    <n v="0.17"/>
    <n v="636"/>
  </r>
  <r>
    <x v="1"/>
    <x v="15"/>
    <x v="0"/>
    <x v="0"/>
    <n v="8150"/>
    <n v="2564.8000000000002"/>
  </r>
  <r>
    <x v="1"/>
    <x v="16"/>
    <x v="0"/>
    <x v="0"/>
    <n v="0"/>
    <n v="0.3"/>
  </r>
  <r>
    <x v="2"/>
    <x v="17"/>
    <x v="0"/>
    <x v="0"/>
    <n v="66007.100000000006"/>
    <n v="36566.1"/>
  </r>
  <r>
    <x v="3"/>
    <x v="18"/>
    <x v="0"/>
    <x v="0"/>
    <n v="41400"/>
    <n v="12725.8"/>
  </r>
  <r>
    <x v="3"/>
    <x v="19"/>
    <x v="0"/>
    <x v="0"/>
    <n v="410.6"/>
    <n v="444.1"/>
  </r>
  <r>
    <x v="3"/>
    <x v="20"/>
    <x v="0"/>
    <x v="0"/>
    <n v="16.5"/>
    <n v="398.7"/>
  </r>
  <r>
    <x v="3"/>
    <x v="21"/>
    <x v="0"/>
    <x v="0"/>
    <n v="20700"/>
    <n v="5625.3"/>
  </r>
  <r>
    <x v="3"/>
    <x v="22"/>
    <x v="0"/>
    <x v="0"/>
    <n v="2700"/>
    <n v="1530.2"/>
  </r>
  <r>
    <x v="3"/>
    <x v="23"/>
    <x v="0"/>
    <x v="0"/>
    <n v="780"/>
    <n v="15841.9"/>
  </r>
  <r>
    <x v="4"/>
    <x v="24"/>
    <x v="0"/>
    <x v="0"/>
    <n v="1104514.9487399999"/>
    <n v="1440285.1"/>
  </r>
  <r>
    <x v="5"/>
    <x v="25"/>
    <x v="1"/>
    <x v="0"/>
    <n v="1601014.8057600001"/>
    <n v="1808822.8"/>
  </r>
  <r>
    <x v="6"/>
    <x v="26"/>
    <x v="1"/>
    <x v="0"/>
    <n v="862950.20189000003"/>
    <n v="1271277.6000000001"/>
  </r>
  <r>
    <x v="6"/>
    <x v="27"/>
    <x v="1"/>
    <x v="0"/>
    <n v="287235.36133999994"/>
    <n v="96369.3"/>
  </r>
  <r>
    <x v="6"/>
    <x v="28"/>
    <x v="1"/>
    <x v="0"/>
    <n v="169753.12577000001"/>
    <n v="119361.8"/>
  </r>
  <r>
    <x v="6"/>
    <x v="29"/>
    <x v="1"/>
    <x v="0"/>
    <n v="169753.12577000001"/>
    <n v="82587.7"/>
  </r>
  <r>
    <x v="6"/>
    <x v="30"/>
    <x v="1"/>
    <x v="0"/>
    <n v="87665.804010000007"/>
    <n v="150142.9"/>
  </r>
  <r>
    <x v="6"/>
    <x v="31"/>
    <x v="1"/>
    <x v="0"/>
    <n v="87665.804010000007"/>
    <n v="-8538.5999999998603"/>
  </r>
  <r>
    <x v="6"/>
    <x v="32"/>
    <x v="1"/>
    <x v="0"/>
    <m/>
    <n v="2023"/>
  </r>
  <r>
    <x v="6"/>
    <x v="33"/>
    <x v="1"/>
    <x v="0"/>
    <n v="74588.892749999999"/>
    <n v="25791.5"/>
  </r>
  <r>
    <x v="6"/>
    <x v="34"/>
    <x v="1"/>
    <x v="0"/>
    <n v="61009.8"/>
    <n v="101187.5"/>
  </r>
  <r>
    <x v="6"/>
    <x v="35"/>
    <x v="1"/>
    <x v="0"/>
    <n v="45167.684999999998"/>
    <n v="31229"/>
  </r>
  <r>
    <x v="6"/>
    <x v="36"/>
    <x v="1"/>
    <x v="0"/>
    <n v="12643.934999999999"/>
    <n v="13463.2"/>
  </r>
  <r>
    <x v="7"/>
    <x v="37"/>
    <x v="1"/>
    <x v="0"/>
    <n v="1471494.3958200002"/>
    <n v="1742788.3"/>
  </r>
  <r>
    <x v="8"/>
    <x v="38"/>
    <x v="1"/>
    <x v="0"/>
    <n v="3562.9920000000002"/>
    <n v="596853"/>
  </r>
  <r>
    <x v="8"/>
    <x v="39"/>
    <x v="1"/>
    <x v="0"/>
    <n v="17019.329409999998"/>
    <n v="8250.7999999999993"/>
  </r>
  <r>
    <x v="8"/>
    <x v="40"/>
    <x v="1"/>
    <x v="0"/>
    <n v="137211.25875000001"/>
    <n v="0"/>
  </r>
  <r>
    <x v="8"/>
    <x v="41"/>
    <x v="1"/>
    <x v="0"/>
    <n v="2164.5300000000002"/>
    <n v="18905.099999999999"/>
  </r>
  <r>
    <x v="8"/>
    <x v="42"/>
    <x v="1"/>
    <x v="0"/>
    <n v="85"/>
    <n v="50"/>
  </r>
  <r>
    <x v="8"/>
    <x v="43"/>
    <x v="1"/>
    <x v="0"/>
    <n v="843240.63523000001"/>
    <n v="253.9"/>
  </r>
  <r>
    <x v="8"/>
    <x v="44"/>
    <x v="1"/>
    <x v="0"/>
    <n v="21436.5"/>
    <n v="138835.79999999999"/>
  </r>
  <r>
    <x v="8"/>
    <x v="45"/>
    <x v="1"/>
    <x v="0"/>
    <n v="108636.86040999999"/>
    <n v="444.9"/>
  </r>
  <r>
    <x v="8"/>
    <x v="46"/>
    <x v="1"/>
    <x v="0"/>
    <n v="45167.684999999998"/>
    <n v="82.8"/>
  </r>
  <r>
    <x v="8"/>
    <x v="47"/>
    <x v="1"/>
    <x v="0"/>
    <n v="12882.108609999999"/>
    <n v="3653.5"/>
  </r>
  <r>
    <x v="8"/>
    <x v="48"/>
    <x v="1"/>
    <x v="0"/>
    <n v="188272.66080000001"/>
    <n v="4631.3999999999996"/>
  </r>
  <r>
    <x v="8"/>
    <x v="49"/>
    <x v="1"/>
    <x v="0"/>
    <n v="8268.5"/>
    <n v="10211.700000000001"/>
  </r>
  <r>
    <x v="8"/>
    <x v="50"/>
    <x v="1"/>
    <x v="0"/>
    <n v="16120.799000000001"/>
    <n v="96362.2"/>
  </r>
  <r>
    <x v="8"/>
    <x v="51"/>
    <x v="1"/>
    <x v="0"/>
    <n v="65510.366929999997"/>
    <n v="1700.1"/>
  </r>
  <r>
    <x v="8"/>
    <x v="52"/>
    <x v="1"/>
    <x v="0"/>
    <n v="1915.16968"/>
    <n v="862553.1"/>
  </r>
  <r>
    <x v="9"/>
    <x v="53"/>
    <x v="1"/>
    <x v="0"/>
    <n v="18344.575550000001"/>
    <n v="66034.5"/>
  </r>
  <r>
    <x v="8"/>
    <x v="54"/>
    <x v="1"/>
    <x v="0"/>
    <n v="18344.575550000001"/>
    <n v="66034.5"/>
  </r>
  <r>
    <x v="0"/>
    <x v="0"/>
    <x v="0"/>
    <x v="1"/>
    <n v="364367.8"/>
    <n v="335223.59999999998"/>
  </r>
  <r>
    <x v="1"/>
    <x v="1"/>
    <x v="0"/>
    <x v="1"/>
    <n v="260842.8"/>
    <n v="254475"/>
  </r>
  <r>
    <x v="1"/>
    <x v="2"/>
    <x v="0"/>
    <x v="1"/>
    <n v="7360"/>
    <n v="38854.6"/>
  </r>
  <r>
    <x v="1"/>
    <x v="3"/>
    <x v="0"/>
    <x v="1"/>
    <n v="47555"/>
    <n v="8700"/>
  </r>
  <r>
    <x v="1"/>
    <x v="4"/>
    <x v="0"/>
    <x v="1"/>
    <n v="36480"/>
    <m/>
  </r>
  <r>
    <x v="1"/>
    <x v="5"/>
    <x v="0"/>
    <x v="1"/>
    <n v="2260"/>
    <m/>
  </r>
  <r>
    <x v="1"/>
    <x v="6"/>
    <x v="0"/>
    <x v="1"/>
    <n v="15"/>
    <m/>
  </r>
  <r>
    <x v="1"/>
    <x v="7"/>
    <x v="0"/>
    <x v="1"/>
    <n v="8800"/>
    <m/>
  </r>
  <r>
    <x v="1"/>
    <x v="8"/>
    <x v="0"/>
    <x v="1"/>
    <n v="40095"/>
    <n v="29820"/>
  </r>
  <r>
    <x v="1"/>
    <x v="9"/>
    <x v="0"/>
    <x v="1"/>
    <n v="15630"/>
    <m/>
  </r>
  <r>
    <x v="1"/>
    <x v="10"/>
    <x v="0"/>
    <x v="1"/>
    <n v="2285"/>
    <m/>
  </r>
  <r>
    <x v="1"/>
    <x v="55"/>
    <x v="0"/>
    <x v="1"/>
    <n v="22180"/>
    <m/>
  </r>
  <r>
    <x v="1"/>
    <x v="12"/>
    <x v="0"/>
    <x v="1"/>
    <n v="19000"/>
    <m/>
  </r>
  <r>
    <x v="1"/>
    <x v="13"/>
    <x v="0"/>
    <x v="1"/>
    <n v="3180"/>
    <m/>
  </r>
  <r>
    <x v="1"/>
    <x v="11"/>
    <x v="0"/>
    <x v="1"/>
    <n v="115"/>
    <n v="864"/>
  </r>
  <r>
    <x v="1"/>
    <x v="15"/>
    <x v="0"/>
    <x v="1"/>
    <n v="8400"/>
    <n v="2510"/>
  </r>
  <r>
    <x v="1"/>
    <x v="16"/>
    <x v="0"/>
    <x v="1"/>
    <n v="0"/>
    <n v="0"/>
  </r>
  <r>
    <x v="2"/>
    <x v="17"/>
    <x v="0"/>
    <x v="1"/>
    <n v="73897.18144"/>
    <n v="17892"/>
  </r>
  <r>
    <x v="3"/>
    <x v="18"/>
    <x v="0"/>
    <x v="1"/>
    <n v="42500"/>
    <n v="7806"/>
  </r>
  <r>
    <x v="3"/>
    <x v="19"/>
    <x v="0"/>
    <x v="1"/>
    <n v="507"/>
    <n v="279"/>
  </r>
  <r>
    <x v="3"/>
    <x v="20"/>
    <x v="0"/>
    <x v="1"/>
    <n v="4190"/>
    <n v="207"/>
  </r>
  <r>
    <x v="3"/>
    <x v="21"/>
    <x v="0"/>
    <x v="1"/>
    <n v="23710"/>
    <n v="8000"/>
  </r>
  <r>
    <x v="3"/>
    <x v="22"/>
    <x v="0"/>
    <x v="1"/>
    <n v="1800"/>
    <n v="1600"/>
  </r>
  <r>
    <x v="3"/>
    <x v="23"/>
    <x v="0"/>
    <x v="1"/>
    <n v="1190.1814399999998"/>
    <n v="0"/>
  </r>
  <r>
    <x v="4"/>
    <x v="24"/>
    <x v="0"/>
    <x v="1"/>
    <n v="1238370.83571"/>
    <n v="926457.4"/>
  </r>
  <r>
    <x v="5"/>
    <x v="25"/>
    <x v="1"/>
    <x v="1"/>
    <n v="1742298.6461500002"/>
    <n v="1311000.3999999999"/>
  </r>
  <r>
    <x v="6"/>
    <x v="26"/>
    <x v="1"/>
    <x v="1"/>
    <n v="964740.96389999997"/>
    <n v="850104.7"/>
  </r>
  <r>
    <x v="6"/>
    <x v="27"/>
    <x v="1"/>
    <x v="1"/>
    <n v="361916.36574000004"/>
    <n v="47674.5"/>
  </r>
  <r>
    <x v="6"/>
    <x v="28"/>
    <x v="1"/>
    <x v="1"/>
    <n v="115789.781"/>
    <n v="122226.6"/>
  </r>
  <r>
    <x v="6"/>
    <x v="29"/>
    <x v="1"/>
    <x v="1"/>
    <n v="115789.781"/>
    <n v="114015"/>
  </r>
  <r>
    <x v="6"/>
    <x v="30"/>
    <x v="1"/>
    <x v="1"/>
    <n v="97971.646349999995"/>
    <n v="147808.5"/>
  </r>
  <r>
    <x v="6"/>
    <x v="31"/>
    <x v="1"/>
    <x v="1"/>
    <m/>
    <n v="-31427.399999999907"/>
  </r>
  <r>
    <x v="6"/>
    <x v="32"/>
    <x v="1"/>
    <x v="1"/>
    <m/>
    <n v="2024"/>
  </r>
  <r>
    <x v="6"/>
    <x v="33"/>
    <x v="1"/>
    <x v="1"/>
    <n v="78262.200319999989"/>
    <n v="18467.2"/>
  </r>
  <r>
    <x v="6"/>
    <x v="34"/>
    <x v="1"/>
    <x v="1"/>
    <n v="58219.620659999993"/>
    <n v="101950.39999999999"/>
  </r>
  <r>
    <x v="6"/>
    <x v="35"/>
    <x v="1"/>
    <x v="1"/>
    <n v="44740.686390000003"/>
    <n v="4215.6000000000004"/>
  </r>
  <r>
    <x v="6"/>
    <x v="36"/>
    <x v="1"/>
    <x v="1"/>
    <n v="20657.381789999999"/>
    <n v="18552.8"/>
  </r>
  <r>
    <x v="7"/>
    <x v="37"/>
    <x v="1"/>
    <x v="1"/>
    <n v="1721105.75024"/>
    <n v="1302224.2"/>
  </r>
  <r>
    <x v="8"/>
    <x v="56"/>
    <x v="1"/>
    <x v="1"/>
    <n v="13615.08288"/>
    <m/>
  </r>
  <r>
    <x v="8"/>
    <x v="38"/>
    <x v="1"/>
    <x v="1"/>
    <n v="4149"/>
    <n v="153670.5"/>
  </r>
  <r>
    <x v="8"/>
    <x v="39"/>
    <x v="1"/>
    <x v="1"/>
    <n v="6968.8220000000001"/>
    <n v="0"/>
  </r>
  <r>
    <x v="8"/>
    <x v="40"/>
    <x v="1"/>
    <x v="1"/>
    <n v="97244.800000000003"/>
    <n v="10"/>
  </r>
  <r>
    <x v="8"/>
    <x v="41"/>
    <x v="1"/>
    <x v="1"/>
    <n v="2062.5"/>
    <n v="12375.4"/>
  </r>
  <r>
    <x v="8"/>
    <x v="42"/>
    <x v="1"/>
    <x v="1"/>
    <n v="85"/>
    <n v="50"/>
  </r>
  <r>
    <x v="8"/>
    <x v="43"/>
    <x v="1"/>
    <x v="1"/>
    <n v="947718.38205999997"/>
    <n v="371"/>
  </r>
  <r>
    <x v="8"/>
    <x v="44"/>
    <x v="1"/>
    <x v="1"/>
    <n v="22801.61"/>
    <n v="146701.9"/>
  </r>
  <r>
    <x v="8"/>
    <x v="45"/>
    <x v="1"/>
    <x v="1"/>
    <n v="104041.31240000001"/>
    <n v="1278.5"/>
  </r>
  <r>
    <x v="8"/>
    <x v="57"/>
    <x v="1"/>
    <x v="1"/>
    <n v="61330.601299999995"/>
    <n v="8211.1"/>
  </r>
  <r>
    <x v="8"/>
    <x v="46"/>
    <x v="1"/>
    <x v="1"/>
    <n v="44740.686390000003"/>
    <n v="85"/>
  </r>
  <r>
    <x v="8"/>
    <x v="47"/>
    <x v="1"/>
    <x v="1"/>
    <n v="10551.834999999999"/>
    <n v="4999.2"/>
  </r>
  <r>
    <x v="8"/>
    <x v="48"/>
    <x v="1"/>
    <x v="1"/>
    <n v="231114.55741000001"/>
    <n v="4395.6000000000004"/>
  </r>
  <r>
    <x v="8"/>
    <x v="49"/>
    <x v="1"/>
    <x v="1"/>
    <n v="9361.5236800000002"/>
    <n v="12308.3"/>
  </r>
  <r>
    <x v="8"/>
    <x v="50"/>
    <x v="1"/>
    <x v="1"/>
    <n v="16195.361000000001"/>
    <n v="103671.4"/>
  </r>
  <r>
    <x v="8"/>
    <x v="51"/>
    <x v="1"/>
    <x v="1"/>
    <n v="70794.109299999996"/>
    <n v="1140"/>
  </r>
  <r>
    <x v="8"/>
    <x v="52"/>
    <x v="1"/>
    <x v="1"/>
    <n v="78330.566819999993"/>
    <n v="852956.3"/>
  </r>
  <r>
    <x v="8"/>
    <x v="58"/>
    <x v="1"/>
    <x v="1"/>
    <n v="0"/>
    <n v="0"/>
  </r>
  <r>
    <x v="9"/>
    <x v="53"/>
    <x v="1"/>
    <x v="1"/>
    <n v="21192.895909999999"/>
    <n v="8776.2000000000007"/>
  </r>
  <r>
    <x v="8"/>
    <x v="54"/>
    <x v="1"/>
    <x v="1"/>
    <n v="21192.895909999999"/>
    <n v="8776.2000000000007"/>
  </r>
  <r>
    <x v="0"/>
    <x v="0"/>
    <x v="0"/>
    <x v="2"/>
    <n v="425403.2"/>
    <n v="337753.3"/>
  </r>
  <r>
    <x v="1"/>
    <x v="1"/>
    <x v="0"/>
    <x v="2"/>
    <n v="295100"/>
    <n v="255000"/>
  </r>
  <r>
    <x v="1"/>
    <x v="2"/>
    <x v="0"/>
    <x v="2"/>
    <n v="8821.2000000000007"/>
    <n v="40337.199999999997"/>
  </r>
  <r>
    <x v="1"/>
    <x v="3"/>
    <x v="0"/>
    <x v="2"/>
    <n v="58472"/>
    <n v="10300"/>
  </r>
  <r>
    <x v="1"/>
    <x v="4"/>
    <x v="0"/>
    <x v="2"/>
    <n v="49400"/>
    <m/>
  </r>
  <r>
    <x v="1"/>
    <x v="5"/>
    <x v="0"/>
    <x v="2"/>
    <n v="0"/>
    <m/>
  </r>
  <r>
    <x v="1"/>
    <x v="6"/>
    <x v="0"/>
    <x v="2"/>
    <n v="72"/>
    <m/>
  </r>
  <r>
    <x v="1"/>
    <x v="7"/>
    <x v="0"/>
    <x v="2"/>
    <n v="9000"/>
    <m/>
  </r>
  <r>
    <x v="1"/>
    <x v="8"/>
    <x v="0"/>
    <x v="2"/>
    <n v="53700"/>
    <n v="29600"/>
  </r>
  <r>
    <x v="1"/>
    <x v="9"/>
    <x v="0"/>
    <x v="2"/>
    <n v="21400"/>
    <m/>
  </r>
  <r>
    <x v="1"/>
    <x v="10"/>
    <x v="0"/>
    <x v="2"/>
    <n v="2500"/>
    <m/>
  </r>
  <r>
    <x v="1"/>
    <x v="55"/>
    <x v="0"/>
    <x v="2"/>
    <n v="29800"/>
    <m/>
  </r>
  <r>
    <x v="1"/>
    <x v="12"/>
    <x v="0"/>
    <x v="2"/>
    <n v="26500"/>
    <m/>
  </r>
  <r>
    <x v="1"/>
    <x v="13"/>
    <x v="0"/>
    <x v="2"/>
    <n v="3300"/>
    <m/>
  </r>
  <r>
    <x v="1"/>
    <x v="11"/>
    <x v="0"/>
    <x v="2"/>
    <n v="0"/>
    <n v="1"/>
  </r>
  <r>
    <x v="1"/>
    <x v="15"/>
    <x v="0"/>
    <x v="2"/>
    <n v="9310"/>
    <n v="2515"/>
  </r>
  <r>
    <x v="1"/>
    <x v="16"/>
    <x v="0"/>
    <x v="2"/>
    <n v="0"/>
    <n v="0"/>
  </r>
  <r>
    <x v="2"/>
    <x v="17"/>
    <x v="0"/>
    <x v="2"/>
    <n v="78170.864329999982"/>
    <n v="16948"/>
  </r>
  <r>
    <x v="3"/>
    <x v="18"/>
    <x v="0"/>
    <x v="2"/>
    <n v="46299.6"/>
    <n v="7956"/>
  </r>
  <r>
    <x v="3"/>
    <x v="19"/>
    <x v="0"/>
    <x v="2"/>
    <n v="239.7"/>
    <n v="279"/>
  </r>
  <r>
    <x v="3"/>
    <x v="20"/>
    <x v="0"/>
    <x v="2"/>
    <n v="10279"/>
    <n v="113"/>
  </r>
  <r>
    <x v="3"/>
    <x v="21"/>
    <x v="0"/>
    <x v="2"/>
    <n v="14575"/>
    <n v="7000"/>
  </r>
  <r>
    <x v="3"/>
    <x v="22"/>
    <x v="0"/>
    <x v="2"/>
    <n v="2518.386"/>
    <n v="1600"/>
  </r>
  <r>
    <x v="3"/>
    <x v="23"/>
    <x v="0"/>
    <x v="2"/>
    <n v="4259.1783299999997"/>
    <n v="0"/>
  </r>
  <r>
    <x v="4"/>
    <x v="24"/>
    <x v="0"/>
    <x v="2"/>
    <n v="1379911.49978"/>
    <n v="845938"/>
  </r>
  <r>
    <x v="5"/>
    <x v="25"/>
    <x v="1"/>
    <x v="2"/>
    <n v="1893187.4174800003"/>
    <n v="1200639.3"/>
  </r>
  <r>
    <x v="6"/>
    <x v="26"/>
    <x v="1"/>
    <x v="2"/>
    <n v="949338.94836000004"/>
    <n v="802608"/>
  </r>
  <r>
    <x v="6"/>
    <x v="27"/>
    <x v="1"/>
    <x v="2"/>
    <n v="464880.22504000005"/>
    <n v="19183.900000000001"/>
  </r>
  <r>
    <x v="6"/>
    <x v="28"/>
    <x v="1"/>
    <x v="2"/>
    <n v="146655.59240999998"/>
    <n v="110435.4"/>
  </r>
  <r>
    <x v="6"/>
    <x v="29"/>
    <x v="1"/>
    <x v="2"/>
    <n v="146655.59240999998"/>
    <n v="114015"/>
  </r>
  <r>
    <x v="6"/>
    <x v="30"/>
    <x v="1"/>
    <x v="2"/>
    <n v="104767.04153"/>
    <n v="128980.7"/>
  </r>
  <r>
    <x v="6"/>
    <x v="31"/>
    <x v="1"/>
    <x v="2"/>
    <m/>
    <n v="0"/>
  </r>
  <r>
    <x v="6"/>
    <x v="32"/>
    <x v="1"/>
    <x v="2"/>
    <m/>
    <n v="2025"/>
  </r>
  <r>
    <x v="6"/>
    <x v="33"/>
    <x v="1"/>
    <x v="2"/>
    <n v="88353.384659999996"/>
    <n v="13112.2"/>
  </r>
  <r>
    <x v="6"/>
    <x v="34"/>
    <x v="1"/>
    <x v="2"/>
    <n v="67704.40529000001"/>
    <n v="87945.2"/>
  </r>
  <r>
    <x v="6"/>
    <x v="35"/>
    <x v="1"/>
    <x v="2"/>
    <n v="55466.33"/>
    <n v="3532.3"/>
  </r>
  <r>
    <x v="6"/>
    <x v="36"/>
    <x v="1"/>
    <x v="2"/>
    <n v="16021.49019"/>
    <n v="34841.599999999999"/>
  </r>
  <r>
    <x v="7"/>
    <x v="37"/>
    <x v="1"/>
    <x v="2"/>
    <n v="1866580.07858"/>
    <n v="1191806.7999999998"/>
  </r>
  <r>
    <x v="8"/>
    <x v="56"/>
    <x v="1"/>
    <x v="2"/>
    <n v="15051.24381"/>
    <n v="0"/>
  </r>
  <r>
    <x v="8"/>
    <x v="38"/>
    <x v="1"/>
    <x v="2"/>
    <n v="4221.1000000000004"/>
    <n v="123128.2"/>
  </r>
  <r>
    <x v="8"/>
    <x v="39"/>
    <x v="1"/>
    <x v="2"/>
    <n v="6650.9315800000004"/>
    <n v="826.1"/>
  </r>
  <r>
    <x v="8"/>
    <x v="40"/>
    <x v="1"/>
    <x v="2"/>
    <n v="135579.56622000001"/>
    <n v="10"/>
  </r>
  <r>
    <x v="8"/>
    <x v="41"/>
    <x v="1"/>
    <x v="2"/>
    <n v="2998"/>
    <n v="8284.6"/>
  </r>
  <r>
    <x v="8"/>
    <x v="42"/>
    <x v="1"/>
    <x v="2"/>
    <n v="85"/>
    <n v="50"/>
  </r>
  <r>
    <x v="8"/>
    <x v="43"/>
    <x v="1"/>
    <x v="2"/>
    <n v="932800.89150000003"/>
    <n v="363"/>
  </r>
  <r>
    <x v="8"/>
    <x v="44"/>
    <x v="1"/>
    <x v="2"/>
    <n v="22026.2"/>
    <n v="145675.70000000001"/>
  </r>
  <r>
    <x v="8"/>
    <x v="45"/>
    <x v="1"/>
    <x v="2"/>
    <n v="116395.11829000001"/>
    <n v="125"/>
  </r>
  <r>
    <x v="8"/>
    <x v="57"/>
    <x v="1"/>
    <x v="2"/>
    <n v="254006.70525999999"/>
    <n v="0"/>
  </r>
  <r>
    <x v="8"/>
    <x v="46"/>
    <x v="1"/>
    <x v="2"/>
    <n v="55466.33"/>
    <n v="85"/>
  </r>
  <r>
    <x v="8"/>
    <x v="47"/>
    <x v="1"/>
    <x v="2"/>
    <n v="5820.0683300000001"/>
    <n v="3330"/>
  </r>
  <r>
    <x v="8"/>
    <x v="48"/>
    <x v="1"/>
    <x v="2"/>
    <n v="95639.734660000002"/>
    <n v="3532.3"/>
  </r>
  <r>
    <x v="8"/>
    <x v="49"/>
    <x v="1"/>
    <x v="2"/>
    <n v="7398.2005999999992"/>
    <n v="11761"/>
  </r>
  <r>
    <x v="8"/>
    <x v="50"/>
    <x v="1"/>
    <x v="2"/>
    <n v="25104.401109999999"/>
    <n v="87645.2"/>
  </r>
  <r>
    <x v="8"/>
    <x v="51"/>
    <x v="1"/>
    <x v="2"/>
    <n v="76208.022849999994"/>
    <n v="653"/>
  </r>
  <r>
    <x v="8"/>
    <x v="52"/>
    <x v="1"/>
    <x v="2"/>
    <n v="111128.56437000001"/>
    <n v="806337.7"/>
  </r>
  <r>
    <x v="8"/>
    <x v="58"/>
    <x v="1"/>
    <x v="2"/>
    <n v="0"/>
    <n v="0"/>
  </r>
  <r>
    <x v="9"/>
    <x v="53"/>
    <x v="1"/>
    <x v="2"/>
    <n v="26607.338899999999"/>
    <n v="8832.5"/>
  </r>
  <r>
    <x v="8"/>
    <x v="54"/>
    <x v="1"/>
    <x v="2"/>
    <n v="26607.338899999999"/>
    <n v="8832.5"/>
  </r>
  <r>
    <x v="0"/>
    <x v="0"/>
    <x v="0"/>
    <x v="3"/>
    <n v="460161.5"/>
    <n v="340158.2"/>
  </r>
  <r>
    <x v="1"/>
    <x v="1"/>
    <x v="0"/>
    <x v="3"/>
    <n v="319602.8"/>
    <n v="256000"/>
  </r>
  <r>
    <x v="1"/>
    <x v="2"/>
    <x v="0"/>
    <x v="3"/>
    <n v="8738.7000000000007"/>
    <n v="40337.199999999997"/>
  </r>
  <r>
    <x v="1"/>
    <x v="3"/>
    <x v="0"/>
    <x v="3"/>
    <n v="69100"/>
    <n v="11400"/>
  </r>
  <r>
    <x v="1"/>
    <x v="4"/>
    <x v="0"/>
    <x v="3"/>
    <n v="60000"/>
    <m/>
  </r>
  <r>
    <x v="1"/>
    <x v="5"/>
    <x v="0"/>
    <x v="3"/>
    <n v="0"/>
    <m/>
  </r>
  <r>
    <x v="1"/>
    <x v="6"/>
    <x v="0"/>
    <x v="3"/>
    <n v="0"/>
    <m/>
  </r>
  <r>
    <x v="1"/>
    <x v="7"/>
    <x v="0"/>
    <x v="3"/>
    <n v="9100"/>
    <m/>
  </r>
  <r>
    <x v="1"/>
    <x v="8"/>
    <x v="0"/>
    <x v="3"/>
    <n v="53800"/>
    <n v="29900"/>
  </r>
  <r>
    <x v="1"/>
    <x v="9"/>
    <x v="0"/>
    <x v="3"/>
    <n v="22700"/>
    <m/>
  </r>
  <r>
    <x v="1"/>
    <x v="10"/>
    <x v="0"/>
    <x v="3"/>
    <n v="2300"/>
    <m/>
  </r>
  <r>
    <x v="1"/>
    <x v="55"/>
    <x v="0"/>
    <x v="3"/>
    <n v="28800"/>
    <m/>
  </r>
  <r>
    <x v="1"/>
    <x v="12"/>
    <x v="0"/>
    <x v="3"/>
    <n v="25000"/>
    <m/>
  </r>
  <r>
    <x v="1"/>
    <x v="13"/>
    <x v="0"/>
    <x v="3"/>
    <n v="3800"/>
    <m/>
  </r>
  <r>
    <x v="1"/>
    <x v="11"/>
    <x v="0"/>
    <x v="3"/>
    <n v="20"/>
    <n v="1"/>
  </r>
  <r>
    <x v="1"/>
    <x v="15"/>
    <x v="0"/>
    <x v="3"/>
    <n v="8900"/>
    <n v="2520"/>
  </r>
  <r>
    <x v="1"/>
    <x v="16"/>
    <x v="0"/>
    <x v="3"/>
    <n v="0"/>
    <n v="0"/>
  </r>
  <r>
    <x v="2"/>
    <x v="17"/>
    <x v="0"/>
    <x v="3"/>
    <n v="68273.807449999993"/>
    <n v="17049"/>
  </r>
  <r>
    <x v="3"/>
    <x v="18"/>
    <x v="0"/>
    <x v="3"/>
    <n v="44000"/>
    <n v="8056"/>
  </r>
  <r>
    <x v="3"/>
    <x v="19"/>
    <x v="0"/>
    <x v="3"/>
    <n v="310"/>
    <n v="279"/>
  </r>
  <r>
    <x v="3"/>
    <x v="20"/>
    <x v="0"/>
    <x v="3"/>
    <n v="0"/>
    <n v="114"/>
  </r>
  <r>
    <x v="3"/>
    <x v="21"/>
    <x v="0"/>
    <x v="3"/>
    <n v="20000"/>
    <n v="7000"/>
  </r>
  <r>
    <x v="3"/>
    <x v="22"/>
    <x v="0"/>
    <x v="3"/>
    <n v="2700"/>
    <n v="1600"/>
  </r>
  <r>
    <x v="3"/>
    <x v="23"/>
    <x v="0"/>
    <x v="3"/>
    <n v="1263.80745"/>
    <n v="0"/>
  </r>
  <r>
    <x v="4"/>
    <x v="24"/>
    <x v="0"/>
    <x v="3"/>
    <n v="1437034.1500599999"/>
    <n v="834433.5"/>
  </r>
  <r>
    <x v="5"/>
    <x v="25"/>
    <x v="1"/>
    <x v="3"/>
    <n v="2068511.3965699996"/>
    <n v="1191640.7"/>
  </r>
  <r>
    <x v="6"/>
    <x v="26"/>
    <x v="1"/>
    <x v="3"/>
    <n v="994529.94790999999"/>
    <n v="797977.7"/>
  </r>
  <r>
    <x v="6"/>
    <x v="27"/>
    <x v="1"/>
    <x v="3"/>
    <n v="492095.33480000001"/>
    <n v="17502.7"/>
  </r>
  <r>
    <x v="6"/>
    <x v="28"/>
    <x v="1"/>
    <x v="3"/>
    <n v="244320.05033000003"/>
    <n v="110435.4"/>
  </r>
  <r>
    <x v="6"/>
    <x v="29"/>
    <x v="1"/>
    <x v="3"/>
    <n v="244320.05033000003"/>
    <n v="114015"/>
  </r>
  <r>
    <x v="6"/>
    <x v="30"/>
    <x v="1"/>
    <x v="3"/>
    <n v="109554.14984999999"/>
    <n v="124668.1"/>
  </r>
  <r>
    <x v="6"/>
    <x v="31"/>
    <x v="1"/>
    <x v="3"/>
    <m/>
    <n v="0"/>
  </r>
  <r>
    <x v="6"/>
    <x v="32"/>
    <x v="1"/>
    <x v="3"/>
    <m/>
    <n v="2026"/>
  </r>
  <r>
    <x v="6"/>
    <x v="33"/>
    <x v="1"/>
    <x v="3"/>
    <n v="90762.398610000004"/>
    <n v="6976"/>
  </r>
  <r>
    <x v="6"/>
    <x v="34"/>
    <x v="1"/>
    <x v="3"/>
    <n v="77186.019650000002"/>
    <n v="82008.899999999994"/>
  </r>
  <r>
    <x v="6"/>
    <x v="35"/>
    <x v="1"/>
    <x v="3"/>
    <n v="44719.9"/>
    <n v="3532.3"/>
  </r>
  <r>
    <x v="6"/>
    <x v="36"/>
    <x v="1"/>
    <x v="3"/>
    <n v="15343.59542"/>
    <n v="48539.6"/>
  </r>
  <r>
    <x v="7"/>
    <x v="37"/>
    <x v="1"/>
    <x v="3"/>
    <n v="1759419.2634499997"/>
    <n v="1182508.8999999999"/>
  </r>
  <r>
    <x v="8"/>
    <x v="56"/>
    <x v="1"/>
    <x v="3"/>
    <n v="18491.323120000001"/>
    <n v="0"/>
  </r>
  <r>
    <x v="8"/>
    <x v="38"/>
    <x v="1"/>
    <x v="3"/>
    <n v="4079"/>
    <n v="122273.1"/>
  </r>
  <r>
    <x v="8"/>
    <x v="39"/>
    <x v="1"/>
    <x v="3"/>
    <n v="5663"/>
    <n v="0"/>
  </r>
  <r>
    <x v="8"/>
    <x v="40"/>
    <x v="1"/>
    <x v="3"/>
    <n v="89.660610000000005"/>
    <n v="10"/>
  </r>
  <r>
    <x v="8"/>
    <x v="41"/>
    <x v="1"/>
    <x v="3"/>
    <n v="2587.5"/>
    <n v="4003.7"/>
  </r>
  <r>
    <x v="8"/>
    <x v="42"/>
    <x v="1"/>
    <x v="3"/>
    <n v="85"/>
    <n v="50"/>
  </r>
  <r>
    <x v="8"/>
    <x v="43"/>
    <x v="1"/>
    <x v="3"/>
    <n v="984780.28052000003"/>
    <n v="363"/>
  </r>
  <r>
    <x v="8"/>
    <x v="44"/>
    <x v="1"/>
    <x v="3"/>
    <n v="21882"/>
    <n v="154975.5"/>
  </r>
  <r>
    <x v="8"/>
    <x v="45"/>
    <x v="1"/>
    <x v="3"/>
    <n v="124388.81965"/>
    <n v="125"/>
  </r>
  <r>
    <x v="8"/>
    <x v="57"/>
    <x v="1"/>
    <x v="3"/>
    <n v="149006.54462999999"/>
    <n v="0"/>
  </r>
  <r>
    <x v="8"/>
    <x v="46"/>
    <x v="1"/>
    <x v="3"/>
    <n v="44719.9"/>
    <n v="85"/>
  </r>
  <r>
    <x v="8"/>
    <x v="47"/>
    <x v="1"/>
    <x v="3"/>
    <n v="2109.8000000000002"/>
    <n v="3330"/>
  </r>
  <r>
    <x v="8"/>
    <x v="48"/>
    <x v="1"/>
    <x v="3"/>
    <n v="257054.19216000001"/>
    <n v="3532.3"/>
  </r>
  <r>
    <x v="8"/>
    <x v="49"/>
    <x v="1"/>
    <x v="3"/>
    <n v="7297.98"/>
    <n v="11550.9"/>
  </r>
  <r>
    <x v="8"/>
    <x v="50"/>
    <x v="1"/>
    <x v="3"/>
    <n v="22225.038"/>
    <n v="81708.899999999994"/>
  </r>
  <r>
    <x v="8"/>
    <x v="51"/>
    <x v="1"/>
    <x v="3"/>
    <n v="82594.054640000002"/>
    <n v="653"/>
  </r>
  <r>
    <x v="8"/>
    <x v="52"/>
    <x v="1"/>
    <x v="3"/>
    <n v="32365.170120000002"/>
    <n v="799848.5"/>
  </r>
  <r>
    <x v="8"/>
    <x v="58"/>
    <x v="1"/>
    <x v="3"/>
    <n v="0"/>
    <n v="0"/>
  </r>
  <r>
    <x v="9"/>
    <x v="53"/>
    <x v="1"/>
    <x v="3"/>
    <n v="309092.13312000001"/>
    <n v="9131.7999999999993"/>
  </r>
  <r>
    <x v="8"/>
    <x v="54"/>
    <x v="1"/>
    <x v="3"/>
    <n v="309092.13312000001"/>
    <n v="9131.7999999999993"/>
  </r>
  <r>
    <x v="10"/>
    <x v="59"/>
    <x v="2"/>
    <x v="0"/>
    <n v="32840"/>
    <m/>
  </r>
  <r>
    <x v="10"/>
    <x v="59"/>
    <x v="2"/>
    <x v="1"/>
    <n v="31253"/>
    <m/>
  </r>
  <r>
    <x v="10"/>
    <x v="59"/>
    <x v="2"/>
    <x v="2"/>
    <n v="31253"/>
    <m/>
  </r>
  <r>
    <x v="10"/>
    <x v="59"/>
    <x v="2"/>
    <x v="3"/>
    <n v="3125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План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2">
  <location ref="A3:C8" firstHeaderRow="0" firstDataRow="1" firstDataCol="1" rowPageCount="1" colPageCount="1"/>
  <pivotFields count="6">
    <pivotField axis="axisRow" showAll="0">
      <items count="14">
        <item h="1" x="10"/>
        <item h="1" m="1" x="11"/>
        <item h="1" x="8"/>
        <item h="1" x="1"/>
        <item h="1" x="3"/>
        <item h="1" m="1" x="12"/>
        <item x="0"/>
        <item x="2"/>
        <item x="4"/>
        <item x="5"/>
        <item h="1" x="7"/>
        <item h="1" x="9"/>
        <item h="1" x="6"/>
        <item t="default"/>
      </items>
    </pivotField>
    <pivotField showAll="0"/>
    <pivotField showAll="0"/>
    <pivotField axis="axisPage" multipleItemSelectionAllowed="1" showAll="0">
      <items count="8">
        <item h="1" m="1" x="5"/>
        <item h="1" m="1" x="6"/>
        <item h="1" m="1" x="4"/>
        <item h="1" x="0"/>
        <item h="1" x="1"/>
        <item h="1" x="2"/>
        <item x="3"/>
        <item t="default"/>
      </items>
    </pivotField>
    <pivotField dataField="1" numFmtId="164" showAll="0"/>
    <pivotField dataField="1" showAll="0"/>
  </pivotFields>
  <rowFields count="1">
    <field x="0"/>
  </rowFields>
  <rowItems count="5"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Сумма по полю план" fld="4" baseField="0" baseItem="0"/>
    <dataField name="Сумма по полю факт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name="Сводная таблица6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6">
  <location ref="A3:C6" firstHeaderRow="0" firstDataRow="1" firstDataCol="1" rowPageCount="1" colPageCount="1"/>
  <pivotFields count="18">
    <pivotField showAll="0"/>
    <pivotField axis="axisRow" showAll="0">
      <items count="13">
        <item h="1" x="9"/>
        <item h="1" x="11"/>
        <item h="1" x="0"/>
        <item h="1" x="4"/>
        <item h="1" x="5"/>
        <item x="8"/>
        <item n="Налог на имущество" x="7"/>
        <item h="1" x="1"/>
        <item h="1" x="2"/>
        <item h="1" x="6"/>
        <item h="1" x="10"/>
        <item h="1"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</pivotFields>
  <rowFields count="1">
    <field x="1"/>
  </rowFields>
  <rowItems count="3"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0" hier="-1"/>
  </pageFields>
  <dataFields count="2">
    <dataField name="Сумма по полю ИТОГО" fld="17" baseField="0" baseItem="0"/>
    <dataField name="Сумма по полю ут план" fld="4" baseField="0" baseItem="0"/>
  </dataFields>
  <formats count="1">
    <format dxfId="90">
      <pivotArea collapsedLevelsAreSubtotals="1" fieldPosition="0">
        <references count="1">
          <reference field="1" count="0"/>
        </references>
      </pivotArea>
    </format>
  </formats>
  <chartFormats count="2">
    <chartFormat chart="1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СТ_неналоги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4">
  <location ref="A3:C6" firstHeaderRow="0" firstDataRow="1" firstDataCol="1" rowPageCount="1" colPageCount="1"/>
  <pivotFields count="18">
    <pivotField showAll="0"/>
    <pivotField axis="axisRow" showAll="0">
      <items count="13">
        <item n="Аренда" x="9"/>
        <item h="1" x="11"/>
        <item h="1" x="0"/>
        <item h="1" x="4"/>
        <item h="1" x="5"/>
        <item h="1" x="8"/>
        <item h="1" x="7"/>
        <item h="1" x="1"/>
        <item h="1" x="2"/>
        <item h="1" x="6"/>
        <item n="Продажа" x="10"/>
        <item h="1"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</pivotFields>
  <rowFields count="1">
    <field x="1"/>
  </rowFields>
  <rowItems count="3">
    <i>
      <x/>
    </i>
    <i>
      <x v="10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0" hier="-1"/>
  </pageFields>
  <dataFields count="2">
    <dataField name="Сумма по полю ИТОГО" fld="17" baseField="0" baseItem="0"/>
    <dataField name="Сумма по полю ут план" fld="4" baseField="0" baseItem="0"/>
  </dataFields>
  <formats count="1">
    <format dxfId="89">
      <pivotArea collapsedLevelsAreSubtotals="1" fieldPosition="0">
        <references count="1">
          <reference field="1" count="0"/>
        </references>
      </pivotArea>
    </format>
  </format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Сводная таблица8" cacheId="0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6">
  <location ref="A3:D16" firstHeaderRow="1" firstDataRow="2" firstDataCol="1" rowPageCount="1" colPageCount="1"/>
  <pivotFields count="18">
    <pivotField showAll="0"/>
    <pivotField axis="axisCol" showAll="0">
      <items count="13">
        <item n="Аренда" x="9"/>
        <item h="1" x="11"/>
        <item h="1" x="0"/>
        <item h="1" x="4"/>
        <item h="1" x="5"/>
        <item h="1" x="8"/>
        <item h="1" x="7"/>
        <item h="1" x="1"/>
        <item h="1" x="2"/>
        <item h="1" x="6"/>
        <item n="Продажа" x="10"/>
        <item h="1"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" showAll="0"/>
    <pivotField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numFmtId="4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3">
    <i>
      <x/>
    </i>
    <i>
      <x v="10"/>
    </i>
    <i t="grand">
      <x/>
    </i>
  </colItems>
  <pageFields count="1">
    <pageField fld="2" item="0" hier="-1"/>
  </pageFields>
  <dataFields count="12">
    <dataField name="1" fld="5" baseField="0" baseItem="0"/>
    <dataField name="2" fld="6" baseField="0" baseItem="0"/>
    <dataField name="3" fld="7" baseField="0" baseItem="0"/>
    <dataField name="4" fld="8" baseField="0" baseItem="0"/>
    <dataField name="5" fld="9" baseField="0" baseItem="0"/>
    <dataField name="6" fld="10" baseField="0" baseItem="0"/>
    <dataField name="7" fld="11" baseField="0" baseItem="0"/>
    <dataField name="8" fld="12" baseField="0" baseItem="0"/>
    <dataField name="9" fld="13" baseField="0" baseItem="0"/>
    <dataField name="10" fld="14" baseField="0" baseItem="0"/>
    <dataField name="11" fld="15" baseField="0" baseItem="0"/>
    <dataField name="12" fld="16" baseField="0" baseItem="0"/>
  </dataFields>
  <formats count="2">
    <format dxfId="88">
      <pivotArea collapsedLevelsAreSubtotals="1" fieldPosition="0">
        <references count="1">
          <reference field="1" count="0"/>
        </references>
      </pivotArea>
    </format>
    <format dxfId="87">
      <pivotArea grandCol="1" outline="0" collapsedLevelsAreSubtotals="1" fieldPosition="0"/>
    </format>
  </formats>
  <chartFormats count="4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6">
  <location ref="A3:C7" firstHeaderRow="0" firstDataRow="1" firstDataCol="1" rowPageCount="1" colPageCount="1"/>
  <pivotFields count="18">
    <pivotField axis="axisRow" showAll="0">
      <items count="8">
        <item n="Доходы бюджета,_x000a_всего" x="0"/>
        <item h="1" x="4"/>
        <item n="Безвозмездные поступления" x="6"/>
        <item n="Налоговые и неналоговые доходы" x="1"/>
        <item h="1" x="2"/>
        <item h="1" x="5"/>
        <item h="1" x="3"/>
        <item t="default"/>
      </items>
    </pivotField>
    <pivotField showAll="0"/>
    <pivotField axis="axisPage" showAll="0">
      <items count="5">
        <item x="0"/>
        <item x="1"/>
        <item x="2"/>
        <item x="3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</pivotFields>
  <rowFields count="1">
    <field x="0"/>
  </rowFields>
  <rowItems count="4">
    <i>
      <x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0" hier="-1"/>
  </pageFields>
  <dataFields count="2">
    <dataField name="Сумма по полю ИТОГО" fld="17" baseField="0" baseItem="0"/>
    <dataField name="Сумма по полю ут план" fld="4" baseField="0" baseItem="0"/>
  </dataField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население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>
  <location ref="A3:B5" firstHeaderRow="1" firstDataRow="1" firstDataCol="1" rowPageCount="1" colPageCount="1"/>
  <pivotFields count="6">
    <pivotField showAll="0"/>
    <pivotField showAll="0"/>
    <pivotField axis="axisRow" showAll="0">
      <items count="4">
        <item h="1" x="0"/>
        <item x="2"/>
        <item h="1" x="1"/>
        <item t="default"/>
      </items>
    </pivotField>
    <pivotField axis="axisPage" showAll="0">
      <items count="8">
        <item m="1" x="5"/>
        <item m="1" x="6"/>
        <item m="1" x="4"/>
        <item x="0"/>
        <item x="1"/>
        <item x="2"/>
        <item x="3"/>
        <item t="default"/>
      </items>
    </pivotField>
    <pivotField dataField="1" numFmtId="164" showAll="0"/>
    <pivotField showAll="0"/>
  </pivotFields>
  <rowFields count="1">
    <field x="2"/>
  </rowFields>
  <rowItems count="2">
    <i>
      <x v="1"/>
    </i>
    <i t="grand">
      <x/>
    </i>
  </rowItems>
  <colItems count="1">
    <i/>
  </colItems>
  <pageFields count="1">
    <pageField fld="3" item="6" hier="-1"/>
  </pageFields>
  <dataFields count="1">
    <dataField name="Сумма по полю план" fld="4" baseField="0" baseItem="0"/>
  </dataFields>
  <formats count="1">
    <format dxfId="114">
      <pivotArea collapsedLevelsAreSubtotals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доход и расход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19">
  <location ref="A3:G7" firstHeaderRow="1" firstDataRow="2" firstDataCol="1" rowPageCount="1" colPageCount="1"/>
  <pivotFields count="6">
    <pivotField axis="axisCol" showAll="0">
      <items count="14">
        <item m="1" x="11"/>
        <item h="1" x="8"/>
        <item h="1" x="1"/>
        <item h="1" x="3"/>
        <item h="1" m="1" x="12"/>
        <item h="1" x="6"/>
        <item x="0"/>
        <item x="2"/>
        <item x="4"/>
        <item h="1" x="5"/>
        <item x="7"/>
        <item x="9"/>
        <item h="1" x="10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Page" multipleItemSelectionAllowed="1" showAll="0">
      <items count="8">
        <item h="1" m="1" x="5"/>
        <item h="1" m="1" x="6"/>
        <item h="1" m="1" x="4"/>
        <item h="1" x="0"/>
        <item h="1" x="1"/>
        <item h="1" x="2"/>
        <item x="3"/>
        <item t="default"/>
      </items>
    </pivotField>
    <pivotField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0"/>
  </colFields>
  <colItems count="6">
    <i>
      <x v="6"/>
    </i>
    <i>
      <x v="7"/>
    </i>
    <i>
      <x v="8"/>
    </i>
    <i>
      <x v="10"/>
    </i>
    <i>
      <x v="11"/>
    </i>
    <i t="grand">
      <x/>
    </i>
  </colItems>
  <pageFields count="1">
    <pageField fld="3" hier="-1"/>
  </pageFields>
  <dataFields count="1">
    <dataField name="Сумма по полю факт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Доходы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>
  <location ref="A3:G30" firstHeaderRow="1" firstDataRow="2" firstDataCol="1" rowPageCount="1" colPageCount="1"/>
  <pivotFields count="6">
    <pivotField axis="axisCol" showAll="0">
      <items count="14">
        <item h="1" x="10"/>
        <item m="1" x="11"/>
        <item h="1" x="8"/>
        <item x="1"/>
        <item x="3"/>
        <item h="1" m="1" x="12"/>
        <item x="0"/>
        <item x="2"/>
        <item x="4"/>
        <item h="1" x="5"/>
        <item h="1" x="7"/>
        <item h="1" x="9"/>
        <item h="1" x="6"/>
        <item t="default"/>
      </items>
    </pivotField>
    <pivotField axis="axisRow" showAll="0">
      <items count="63">
        <item x="52"/>
        <item x="2"/>
        <item x="15"/>
        <item x="18"/>
        <item x="20"/>
        <item x="21"/>
        <item x="36"/>
        <item x="5"/>
        <item x="6"/>
        <item x="27"/>
        <item x="16"/>
        <item x="55"/>
        <item x="12"/>
        <item x="13"/>
        <item x="34"/>
        <item x="24"/>
        <item x="48"/>
        <item x="11"/>
        <item x="10"/>
        <item x="9"/>
        <item x="7"/>
        <item x="4"/>
        <item x="8"/>
        <item x="3"/>
        <item x="0"/>
        <item x="28"/>
        <item x="1"/>
        <item x="17"/>
        <item x="53"/>
        <item x="54"/>
        <item x="50"/>
        <item x="41"/>
        <item x="26"/>
        <item x="30"/>
        <item x="19"/>
        <item x="47"/>
        <item x="49"/>
        <item x="37"/>
        <item x="58"/>
        <item x="23"/>
        <item x="38"/>
        <item x="45"/>
        <item x="44"/>
        <item x="51"/>
        <item x="43"/>
        <item x="40"/>
        <item x="46"/>
        <item x="25"/>
        <item x="42"/>
        <item x="39"/>
        <item x="33"/>
        <item x="56"/>
        <item x="35"/>
        <item x="57"/>
        <item x="59"/>
        <item x="22"/>
        <item m="1" x="60"/>
        <item x="14"/>
        <item x="31"/>
        <item x="32"/>
        <item x="29"/>
        <item m="1" x="61"/>
        <item t="default"/>
      </items>
    </pivotField>
    <pivotField showAll="0"/>
    <pivotField axis="axisPage" multipleItemSelectionAllowed="1" showAll="0">
      <items count="8">
        <item h="1" m="1" x="5"/>
        <item h="1" m="1" x="6"/>
        <item h="1" m="1" x="4"/>
        <item h="1" x="0"/>
        <item h="1" x="1"/>
        <item h="1" x="2"/>
        <item x="3"/>
        <item t="default"/>
      </items>
    </pivotField>
    <pivotField numFmtId="164" showAll="0"/>
    <pivotField dataField="1" showAll="0"/>
  </pivotFields>
  <rowFields count="1">
    <field x="1"/>
  </rowFields>
  <rowItems count="26">
    <i>
      <x v="1"/>
    </i>
    <i>
      <x v="2"/>
    </i>
    <i>
      <x v="3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34"/>
    </i>
    <i>
      <x v="39"/>
    </i>
    <i>
      <x v="55"/>
    </i>
    <i t="grand">
      <x/>
    </i>
  </rowItems>
  <colFields count="1">
    <field x="0"/>
  </colFields>
  <colItems count="6">
    <i>
      <x v="3"/>
    </i>
    <i>
      <x v="4"/>
    </i>
    <i>
      <x v="6"/>
    </i>
    <i>
      <x v="7"/>
    </i>
    <i>
      <x v="8"/>
    </i>
    <i t="grand">
      <x/>
    </i>
  </colItems>
  <pageFields count="1">
    <pageField fld="3" hier="-1"/>
  </pageFields>
  <dataFields count="1">
    <dataField name="Сумма по полю факт" fld="5" baseField="0" baseItem="0"/>
  </dataFields>
  <formats count="8">
    <format dxfId="113">
      <pivotArea outline="0" collapsedLevelsAreSubtotals="1" fieldPosition="0"/>
    </format>
    <format dxfId="112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1">
      <pivotArea dataOnly="0" labelOnly="1" fieldPosition="0">
        <references count="1">
          <reference field="1" count="6">
            <x v="50"/>
            <x v="51"/>
            <x v="52"/>
            <x v="53"/>
            <x v="54"/>
            <x v="55"/>
          </reference>
        </references>
      </pivotArea>
    </format>
    <format dxfId="110">
      <pivotArea dataOnly="0" labelOnly="1" grandRow="1" outline="0" fieldPosition="0"/>
    </format>
    <format dxfId="109">
      <pivotArea collapsedLevelsAreSubtotals="1" fieldPosition="0">
        <references count="1">
          <reference field="1" count="6">
            <x v="3"/>
            <x v="4"/>
            <x v="5"/>
            <x v="34"/>
            <x v="39"/>
            <x v="55"/>
          </reference>
        </references>
      </pivotArea>
    </format>
    <format dxfId="108">
      <pivotArea dataOnly="0" labelOnly="1" fieldPosition="0">
        <references count="1">
          <reference field="1" count="6">
            <x v="3"/>
            <x v="4"/>
            <x v="5"/>
            <x v="34"/>
            <x v="39"/>
            <x v="55"/>
          </reference>
        </references>
      </pivotArea>
    </format>
    <format dxfId="107">
      <pivotArea collapsedLevelsAreSubtotals="1" fieldPosition="0">
        <references count="1">
          <reference field="1" count="16">
            <x v="1"/>
            <x v="2"/>
            <x v="7"/>
            <x v="8"/>
            <x v="10"/>
            <x v="11"/>
            <x v="12"/>
            <x v="13"/>
            <x v="17"/>
            <x v="18"/>
            <x v="19"/>
            <x v="20"/>
            <x v="21"/>
            <x v="22"/>
            <x v="23"/>
            <x v="26"/>
          </reference>
        </references>
      </pivotArea>
    </format>
    <format dxfId="106">
      <pivotArea dataOnly="0" labelOnly="1" fieldPosition="0">
        <references count="1">
          <reference field="1" count="16">
            <x v="1"/>
            <x v="2"/>
            <x v="7"/>
            <x v="8"/>
            <x v="10"/>
            <x v="11"/>
            <x v="12"/>
            <x v="13"/>
            <x v="17"/>
            <x v="18"/>
            <x v="19"/>
            <x v="20"/>
            <x v="21"/>
            <x v="22"/>
            <x v="23"/>
            <x v="2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РзПр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>
  <location ref="A3:C16" firstHeaderRow="1" firstDataRow="2" firstDataCol="1" rowPageCount="1" colPageCount="1"/>
  <pivotFields count="6">
    <pivotField axis="axisCol" showAll="0">
      <items count="14">
        <item h="1" x="10"/>
        <item h="1" m="1" x="11"/>
        <item h="1" x="8"/>
        <item h="1" x="1"/>
        <item h="1" x="3"/>
        <item h="1" m="1" x="12"/>
        <item h="1" x="0"/>
        <item h="1" x="2"/>
        <item h="1" x="4"/>
        <item h="1" x="5"/>
        <item h="1" x="7"/>
        <item h="1" x="9"/>
        <item x="6"/>
        <item t="default"/>
      </items>
    </pivotField>
    <pivotField axis="axisRow" showAll="0">
      <items count="63">
        <item x="52"/>
        <item x="2"/>
        <item x="15"/>
        <item x="18"/>
        <item x="20"/>
        <item x="21"/>
        <item x="36"/>
        <item x="5"/>
        <item x="6"/>
        <item x="27"/>
        <item x="16"/>
        <item x="55"/>
        <item x="12"/>
        <item x="13"/>
        <item x="34"/>
        <item x="24"/>
        <item x="48"/>
        <item x="11"/>
        <item x="10"/>
        <item x="9"/>
        <item x="7"/>
        <item x="4"/>
        <item x="8"/>
        <item x="3"/>
        <item x="0"/>
        <item x="28"/>
        <item x="1"/>
        <item x="17"/>
        <item x="53"/>
        <item x="54"/>
        <item x="50"/>
        <item x="41"/>
        <item x="26"/>
        <item x="30"/>
        <item x="19"/>
        <item x="47"/>
        <item x="49"/>
        <item x="37"/>
        <item x="58"/>
        <item x="23"/>
        <item x="38"/>
        <item x="45"/>
        <item x="44"/>
        <item x="51"/>
        <item x="43"/>
        <item x="40"/>
        <item x="46"/>
        <item x="25"/>
        <item x="42"/>
        <item x="39"/>
        <item x="33"/>
        <item x="56"/>
        <item x="35"/>
        <item x="57"/>
        <item x="59"/>
        <item x="22"/>
        <item m="1" x="60"/>
        <item x="14"/>
        <item x="31"/>
        <item x="32"/>
        <item x="29"/>
        <item m="1" x="61"/>
        <item t="default"/>
      </items>
    </pivotField>
    <pivotField showAll="0"/>
    <pivotField axis="axisPage" multipleItemSelectionAllowed="1" showAll="0">
      <items count="8">
        <item h="1" m="1" x="5"/>
        <item h="1" m="1" x="6"/>
        <item h="1" m="1" x="4"/>
        <item h="1" x="0"/>
        <item h="1" x="1"/>
        <item h="1" x="2"/>
        <item x="3"/>
        <item t="default"/>
      </items>
    </pivotField>
    <pivotField numFmtId="164" showAll="0"/>
    <pivotField dataField="1" showAll="0"/>
  </pivotFields>
  <rowFields count="1">
    <field x="1"/>
  </rowFields>
  <rowItems count="12">
    <i>
      <x v="6"/>
    </i>
    <i>
      <x v="9"/>
    </i>
    <i>
      <x v="14"/>
    </i>
    <i>
      <x v="25"/>
    </i>
    <i>
      <x v="32"/>
    </i>
    <i>
      <x v="33"/>
    </i>
    <i>
      <x v="50"/>
    </i>
    <i>
      <x v="52"/>
    </i>
    <i>
      <x v="58"/>
    </i>
    <i>
      <x v="59"/>
    </i>
    <i>
      <x v="60"/>
    </i>
    <i t="grand">
      <x/>
    </i>
  </rowItems>
  <colFields count="1">
    <field x="0"/>
  </colFields>
  <colItems count="2">
    <i>
      <x v="12"/>
    </i>
    <i t="grand">
      <x/>
    </i>
  </colItems>
  <pageFields count="1">
    <pageField fld="3" hier="-1"/>
  </pageFields>
  <dataFields count="1">
    <dataField name="Сумма по полю факт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МП" cacheId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6">
  <location ref="A3:C23" firstHeaderRow="1" firstDataRow="2" firstDataCol="1" rowPageCount="1" colPageCount="1"/>
  <pivotFields count="6">
    <pivotField axis="axisCol" showAll="0">
      <items count="14">
        <item h="1" x="10"/>
        <item h="1" m="1" x="11"/>
        <item x="8"/>
        <item h="1" x="1"/>
        <item h="1" x="3"/>
        <item h="1" m="1" x="12"/>
        <item h="1" x="0"/>
        <item h="1" x="2"/>
        <item h="1" x="4"/>
        <item h="1" x="5"/>
        <item h="1" x="7"/>
        <item h="1" x="9"/>
        <item h="1" x="6"/>
        <item t="default"/>
      </items>
    </pivotField>
    <pivotField axis="axisRow" showAll="0">
      <items count="63">
        <item n="Адресная программа  по переселению граждан из аварийного жилищного фонда" x="52"/>
        <item x="2"/>
        <item x="15"/>
        <item x="18"/>
        <item x="20"/>
        <item x="21"/>
        <item x="36"/>
        <item x="5"/>
        <item x="6"/>
        <item x="27"/>
        <item x="16"/>
        <item x="55"/>
        <item x="12"/>
        <item x="13"/>
        <item x="34"/>
        <item x="24"/>
        <item n="Модернизация и реформирование жилищно-коммунального хозяйства " x="48"/>
        <item x="11"/>
        <item x="10"/>
        <item x="9"/>
        <item x="7"/>
        <item x="4"/>
        <item x="8"/>
        <item x="3"/>
        <item x="0"/>
        <item x="28"/>
        <item x="1"/>
        <item x="17"/>
        <item h="1" x="53"/>
        <item h="1" x="54"/>
        <item n="Обеспечение жильем детей 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 " x="50"/>
        <item n="Обеспечение общественной безопасности " x="41"/>
        <item x="26"/>
        <item x="30"/>
        <item x="19"/>
        <item n="Поддержка малого и среднего предпринимательства " x="47"/>
        <item n="Пподдержка молодых семей , нуждающихся в улучшении жилищных условий" x="49"/>
        <item x="37"/>
        <item x="58"/>
        <item x="23"/>
        <item n="Развитие архивного дела " x="38"/>
        <item n="Развитие культуры " x="45"/>
        <item n="Развитие молодежной политики " x="44"/>
        <item n="Развитие муниципальной службы " x="51"/>
        <item x="43"/>
        <item n="Развитие улично-дорожной сети " x="40"/>
        <item n="Развитие физической культуры и спорта " x="46"/>
        <item x="25"/>
        <item n="Реализация государственной национальной политики " x="42"/>
        <item n="Снижение рисков и смягчение последствий чрезвычайных ситуаций природного и техногенного характера " x="39"/>
        <item x="33"/>
        <item n="Управление муниципальными финансами " x="56"/>
        <item x="35"/>
        <item n="Формирование современной городской среды на территории " x="57"/>
        <item x="59"/>
        <item x="22"/>
        <item h="1" m="1" x="60"/>
        <item h="1" x="14"/>
        <item h="1" x="31"/>
        <item h="1" x="32"/>
        <item h="1" x="29"/>
        <item h="1" m="1" x="61"/>
        <item t="default"/>
      </items>
    </pivotField>
    <pivotField showAll="0"/>
    <pivotField axis="axisPage" multipleItemSelectionAllowed="1" showAll="0">
      <items count="8">
        <item h="1" m="1" x="5"/>
        <item h="1" m="1" x="6"/>
        <item h="1" m="1" x="4"/>
        <item h="1" x="0"/>
        <item h="1" x="1"/>
        <item h="1" x="2"/>
        <item x="3"/>
        <item t="default"/>
      </items>
    </pivotField>
    <pivotField numFmtId="164" showAll="0"/>
    <pivotField dataField="1" showAll="0"/>
  </pivotFields>
  <rowFields count="1">
    <field x="1"/>
  </rowFields>
  <rowItems count="19">
    <i>
      <x/>
    </i>
    <i>
      <x v="16"/>
    </i>
    <i>
      <x v="30"/>
    </i>
    <i>
      <x v="31"/>
    </i>
    <i>
      <x v="35"/>
    </i>
    <i>
      <x v="36"/>
    </i>
    <i>
      <x v="38"/>
    </i>
    <i>
      <x v="40"/>
    </i>
    <i>
      <x v="41"/>
    </i>
    <i>
      <x v="42"/>
    </i>
    <i>
      <x v="43"/>
    </i>
    <i>
      <x v="44"/>
    </i>
    <i>
      <x v="45"/>
    </i>
    <i>
      <x v="46"/>
    </i>
    <i>
      <x v="48"/>
    </i>
    <i>
      <x v="49"/>
    </i>
    <i>
      <x v="51"/>
    </i>
    <i>
      <x v="53"/>
    </i>
    <i t="grand">
      <x/>
    </i>
  </rowItems>
  <colFields count="1">
    <field x="0"/>
  </colFields>
  <colItems count="2">
    <i>
      <x v="2"/>
    </i>
    <i t="grand">
      <x/>
    </i>
  </colItems>
  <pageFields count="1">
    <pageField fld="3" hier="-1"/>
  </pageFields>
  <dataFields count="1">
    <dataField name="Сумма по полю факт" fld="5" baseField="0" baseItem="0"/>
  </dataFields>
  <formats count="2">
    <format dxfId="105">
      <pivotArea collapsedLevelsAreSubtotals="1" fieldPosition="0">
        <references count="1">
          <reference field="1" count="1">
            <x v="38"/>
          </reference>
        </references>
      </pivotArea>
    </format>
    <format dxfId="104">
      <pivotArea dataOnly="0" labelOnly="1" fieldPosition="0">
        <references count="1">
          <reference field="1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СТ НалНенал" cacheId="0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15">
  <location ref="A3:G16" firstHeaderRow="1" firstDataRow="2" firstDataCol="1" rowPageCount="1" colPageCount="1"/>
  <pivotFields count="18">
    <pivotField axis="axisCol" showAll="0">
      <items count="8">
        <item h="1" x="0"/>
        <item n="Имущественные налоги" x="4"/>
        <item h="1" x="6"/>
        <item n="Всего доходов*" x="1"/>
        <item n="НДФЛ " x="2"/>
        <item n="Аренда и продажа мун.имущества" x="5"/>
        <item n="Налоги на совокупный доход" x="3"/>
        <item t="default"/>
      </items>
    </pivotField>
    <pivotField showAll="0"/>
    <pivotField axis="axisPage" showAll="0">
      <items count="5">
        <item x="0"/>
        <item x="1"/>
        <item x="2"/>
        <item x="3"/>
        <item t="default"/>
      </items>
    </pivotField>
    <pivotField numFmtId="4" showAll="0"/>
    <pivotField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numFmtId="4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6">
    <i>
      <x v="1"/>
    </i>
    <i>
      <x v="3"/>
    </i>
    <i>
      <x v="4"/>
    </i>
    <i>
      <x v="5"/>
    </i>
    <i>
      <x v="6"/>
    </i>
    <i t="grand">
      <x/>
    </i>
  </colItems>
  <pageFields count="1">
    <pageField fld="2" item="0" hier="-1"/>
  </pageFields>
  <dataFields count="12">
    <dataField name="январь " fld="5" baseField="0" baseItem="0"/>
    <dataField name="февраль " fld="6" baseField="0" baseItem="0"/>
    <dataField name="март " fld="7" baseField="0" baseItem="0"/>
    <dataField name="апрель " fld="8" baseField="0" baseItem="0"/>
    <dataField name="май " fld="9" baseField="0" baseItem="0"/>
    <dataField name="июнь " fld="10" baseField="0" baseItem="0"/>
    <dataField name="июль " fld="11" baseField="0" baseItem="0"/>
    <dataField name="август " fld="12" baseField="0" baseItem="0"/>
    <dataField name="сентябрь " fld="13" baseField="0" baseItem="0"/>
    <dataField name="октябрь " fld="14" baseField="0" baseItem="0"/>
    <dataField name="ноябрь " fld="15" baseField="0" baseItem="0"/>
    <dataField name="декабрь " fld="16" baseField="0" baseItem="0"/>
  </dataFields>
  <formats count="1">
    <format dxfId="93">
      <pivotArea collapsedLevelsAreSubtotals="1" fieldPosition="0">
        <references count="1">
          <reference field="0" count="0"/>
        </references>
      </pivotArea>
    </format>
  </formats>
  <chartFormats count="17"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1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1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1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1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1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1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1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1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1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1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1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СТ_совокупных доход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19">
  <location ref="A3:C8" firstHeaderRow="0" firstDataRow="1" firstDataCol="1" rowPageCount="1" colPageCount="1"/>
  <pivotFields count="18">
    <pivotField showAll="0"/>
    <pivotField axis="axisRow" showAll="0">
      <items count="13">
        <item h="1" x="9"/>
        <item h="1" x="11"/>
        <item h="1" x="0"/>
        <item x="4"/>
        <item x="5"/>
        <item h="1" x="8"/>
        <item h="1" x="7"/>
        <item h="1" x="1"/>
        <item h="1" x="2"/>
        <item x="6"/>
        <item h="1" x="10"/>
        <item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</pivotFields>
  <rowFields count="1">
    <field x="1"/>
  </rowFields>
  <rowItems count="5">
    <i>
      <x v="3"/>
    </i>
    <i>
      <x v="4"/>
    </i>
    <i>
      <x v="9"/>
    </i>
    <i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0" hier="-1"/>
  </pageFields>
  <dataFields count="2">
    <dataField name="Сумма по полю ИТОГО" fld="17" baseField="0" baseItem="0"/>
    <dataField name="Сумма по полю ут план" fld="4" baseField="0" baseItem="0"/>
  </dataFields>
  <formats count="1">
    <format dxfId="92">
      <pivotArea collapsedLevelsAreSubtotals="1" fieldPosition="0">
        <references count="1">
          <reference field="1" count="0"/>
        </references>
      </pivotArea>
    </format>
  </formats>
  <chartFormats count="2">
    <chartFormat chart="1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СТ_имущество" cacheId="0" dataOnRows="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6" indent="0" outline="1" outlineData="1" multipleFieldFilters="0" chartFormat="4">
  <location ref="A3:D16" firstHeaderRow="1" firstDataRow="2" firstDataCol="1" rowPageCount="1" colPageCount="1"/>
  <pivotFields count="18">
    <pivotField showAll="0"/>
    <pivotField axis="axisCol" showAll="0">
      <items count="13">
        <item h="1" x="9"/>
        <item h="1" x="11"/>
        <item h="1" x="0"/>
        <item h="1" x="4"/>
        <item h="1" x="5"/>
        <item x="8"/>
        <item x="7"/>
        <item h="1" x="1"/>
        <item h="1" x="2"/>
        <item h="1" x="6"/>
        <item h="1" x="10"/>
        <item h="1"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numFmtId="4" showAll="0"/>
    <pivotField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numFmtId="4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1"/>
  </colFields>
  <colItems count="3">
    <i>
      <x v="5"/>
    </i>
    <i>
      <x v="6"/>
    </i>
    <i t="grand">
      <x/>
    </i>
  </colItems>
  <pageFields count="1">
    <pageField fld="2" item="0" hier="-1"/>
  </pageFields>
  <dataFields count="12">
    <dataField name="1" fld="5" baseField="0" baseItem="0"/>
    <dataField name="2" fld="6" baseField="0" baseItem="0"/>
    <dataField name="3" fld="7" baseField="0" baseItem="0"/>
    <dataField name="4" fld="8" baseField="0" baseItem="0"/>
    <dataField name="5" fld="9" baseField="0" baseItem="0"/>
    <dataField name="6" fld="10" baseField="0" baseItem="0"/>
    <dataField name="7" fld="11" baseField="0" baseItem="0"/>
    <dataField name="8" fld="12" baseField="0" baseItem="0"/>
    <dataField name="9" fld="13" baseField="0" baseItem="0"/>
    <dataField name="10" fld="14" baseField="0" baseItem="0"/>
    <dataField name="11" fld="15" baseField="0" baseItem="0"/>
    <dataField name="12" fld="16" baseField="0" baseItem="0"/>
  </dataFields>
  <formats count="1">
    <format dxfId="91">
      <pivotArea collapsedLevelsAreSubtotals="1" fieldPosition="0">
        <references count="1">
          <reference field="1" count="0"/>
        </references>
      </pivotArea>
    </format>
  </formats>
  <chartFormats count="14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1" format="8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1" format="11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1" format="12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1" sourceName="год">
  <pivotTables>
    <pivotTable tabId="43" name="Сводная таблица8"/>
    <pivotTable tabId="44" name="Сводная таблица1"/>
    <pivotTable tabId="40" name="СТ_имущество"/>
    <pivotTable tabId="41" name="Сводная таблица6"/>
    <pivotTable tabId="42" name="СТ_неналоги"/>
    <pivotTable tabId="38" name="СТ_совокупных доход"/>
    <pivotTable tabId="37" name="СТ НалНенал"/>
  </pivotTables>
  <data>
    <tabular pivotCacheId="82541091">
      <items count="4">
        <i x="0" s="1"/>
        <i x="1"/>
        <i x="2"/>
        <i x="3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Срез_год" sourceName="год">
  <pivotTables>
    <pivotTable tabId="23" name="доход и расход"/>
    <pivotTable tabId="25" name="население"/>
    <pivotTable tabId="26" name="План"/>
    <pivotTable tabId="27" name="Доходы"/>
    <pivotTable tabId="28" name="РзПр"/>
    <pivotTable tabId="29" name="МП"/>
  </pivotTables>
  <data>
    <tabular pivotCacheId="2141926805" showMissing="0">
      <items count="7">
        <i x="0"/>
        <i x="1"/>
        <i x="2"/>
        <i x="3" s="1"/>
        <i x="5" nd="1"/>
        <i x="6" nd="1"/>
        <i x="4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год" cache="Срез_год" caption="год" columnCount="4" showCaption="0" style="SlicerStyleDark6" lockedPosition="1" rowHeight="792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год 2" cache="Срез_год1" caption="год" rowHeight="241300"/>
</slicers>
</file>

<file path=xl/tables/table1.xml><?xml version="1.0" encoding="utf-8"?>
<table xmlns="http://schemas.openxmlformats.org/spreadsheetml/2006/main" id="1" name="УТ_Данные" displayName="УТ_Данные" ref="B4:G237" totalsRowShown="0" headerRowDxfId="103" headerRowBorderDxfId="102" tableBorderDxfId="101" totalsRowBorderDxfId="100">
  <autoFilter ref="B4:G237"/>
  <tableColumns count="6">
    <tableColumn id="1" name="группа" dataDxfId="99"/>
    <tableColumn id="2" name="наименование" dataDxfId="98"/>
    <tableColumn id="3" name="вид" dataDxfId="97"/>
    <tableColumn id="4" name="год" dataDxfId="96"/>
    <tableColumn id="5" name="план" dataDxfId="95"/>
    <tableColumn id="6" name="факт" dataDxfId="9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1:R49" totalsRowShown="0" headerRowDxfId="86" dataDxfId="85" tableBorderDxfId="84">
  <autoFilter ref="A1:R49"/>
  <tableColumns count="18">
    <tableColumn id="1" name="группа" dataDxfId="83"/>
    <tableColumn id="2" name="наименование" dataDxfId="82"/>
    <tableColumn id="3" name="год" dataDxfId="81"/>
    <tableColumn id="4" name="нач план" dataDxfId="80"/>
    <tableColumn id="5" name="ут план" dataDxfId="79"/>
    <tableColumn id="6" name="январь" dataDxfId="78"/>
    <tableColumn id="7" name="февраль" dataDxfId="77"/>
    <tableColumn id="8" name="март" dataDxfId="76"/>
    <tableColumn id="9" name="апрель" dataDxfId="75"/>
    <tableColumn id="10" name="май" dataDxfId="74"/>
    <tableColumn id="11" name="июнь" dataDxfId="73"/>
    <tableColumn id="12" name="июль" dataDxfId="72"/>
    <tableColumn id="13" name="август" dataDxfId="71"/>
    <tableColumn id="14" name="сентябрь" dataDxfId="70"/>
    <tableColumn id="15" name="октябрь" dataDxfId="69"/>
    <tableColumn id="16" name="ноябрь" dataDxfId="68"/>
    <tableColumn id="17" name="декабрь" dataDxfId="67"/>
    <tableColumn id="19" name="ИТОГО" dataDxfId="66">
      <calculatedColumnFormula>SUM(Таблица3[[#This Row],[январь]:[декабрь]])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J14" sqref="J14"/>
    </sheetView>
  </sheetViews>
  <sheetFormatPr defaultRowHeight="15" x14ac:dyDescent="0.25"/>
  <cols>
    <col min="1" max="1" width="17.28515625" bestFit="1" customWidth="1"/>
    <col min="2" max="2" width="20.5703125" bestFit="1" customWidth="1"/>
    <col min="3" max="3" width="20.42578125" bestFit="1" customWidth="1"/>
    <col min="8" max="9" width="15.85546875" customWidth="1"/>
    <col min="11" max="11" width="9.140625" customWidth="1"/>
  </cols>
  <sheetData>
    <row r="1" spans="1:11" x14ac:dyDescent="0.25">
      <c r="A1" s="1" t="s">
        <v>0</v>
      </c>
      <c r="B1" s="2">
        <v>2026</v>
      </c>
    </row>
    <row r="3" spans="1:11" x14ac:dyDescent="0.25">
      <c r="A3" s="1" t="s">
        <v>4</v>
      </c>
      <c r="B3" t="s">
        <v>84</v>
      </c>
      <c r="C3" t="s">
        <v>68</v>
      </c>
      <c r="G3" s="82" t="s">
        <v>4</v>
      </c>
      <c r="H3" s="82" t="s">
        <v>84</v>
      </c>
      <c r="I3" s="82" t="s">
        <v>68</v>
      </c>
    </row>
    <row r="4" spans="1:11" x14ac:dyDescent="0.25">
      <c r="A4" s="2" t="s">
        <v>69</v>
      </c>
      <c r="B4" s="3">
        <v>460161.5</v>
      </c>
      <c r="C4" s="3">
        <v>340158.2</v>
      </c>
      <c r="E4" s="85"/>
      <c r="G4" s="2" t="s">
        <v>35</v>
      </c>
      <c r="H4" s="104">
        <f>GETPIVOTDATA("Сумма по полю план",$A$3,"группа","показатель д1")+GETPIVOTDATA("Сумма по полю план",$A$3,"группа","показатель д2")+GETPIVOTDATA("Сумма по полю план",$A$3,"группа","показатель д3")</f>
        <v>1965469.4575099999</v>
      </c>
      <c r="I4" s="104">
        <f>GETPIVOTDATA("Сумма по полю факт",$A$3,"группа","показатель д1")+GETPIVOTDATA("Сумма по полю факт",$A$3,"группа","показатель д2")+GETPIVOTDATA("Сумма по полю факт",$A$3,"группа","показатель д3")</f>
        <v>1191640.7</v>
      </c>
      <c r="K4" s="85">
        <f>I4/H4</f>
        <v>0.60628807812137531</v>
      </c>
    </row>
    <row r="5" spans="1:11" x14ac:dyDescent="0.25">
      <c r="A5" s="2" t="s">
        <v>70</v>
      </c>
      <c r="B5" s="3">
        <v>68273.807449999993</v>
      </c>
      <c r="C5" s="3">
        <v>17049</v>
      </c>
      <c r="G5" s="2" t="s">
        <v>67</v>
      </c>
      <c r="H5" s="104">
        <f>GETPIVOTDATA("Сумма по полю план",$A$3,"группа","показатель р1")</f>
        <v>2068511.3965699996</v>
      </c>
      <c r="I5" s="104">
        <f>GETPIVOTDATA("Сумма по полю факт",$A$3,"группа","показатель р1")</f>
        <v>1191640.7</v>
      </c>
      <c r="K5" s="85">
        <f>I5/H5</f>
        <v>0.57608611776370944</v>
      </c>
    </row>
    <row r="6" spans="1:11" x14ac:dyDescent="0.25">
      <c r="A6" s="2" t="s">
        <v>72</v>
      </c>
      <c r="B6" s="3">
        <v>1437034.1500599999</v>
      </c>
      <c r="C6" s="3">
        <v>834433.5</v>
      </c>
    </row>
    <row r="7" spans="1:11" x14ac:dyDescent="0.25">
      <c r="A7" s="2" t="s">
        <v>71</v>
      </c>
      <c r="B7" s="3">
        <v>2068511.3965699996</v>
      </c>
      <c r="C7" s="3">
        <v>1191640.7</v>
      </c>
    </row>
    <row r="8" spans="1:11" x14ac:dyDescent="0.25">
      <c r="A8" s="2" t="s">
        <v>5</v>
      </c>
      <c r="B8" s="3">
        <v>4033980.8540799995</v>
      </c>
      <c r="C8" s="3">
        <v>2383281.4</v>
      </c>
    </row>
  </sheetData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5" sqref="A5:A16"/>
    </sheetView>
  </sheetViews>
  <sheetFormatPr defaultRowHeight="15" x14ac:dyDescent="0.25"/>
  <cols>
    <col min="1" max="1" width="17.28515625" bestFit="1" customWidth="1"/>
    <col min="2" max="2" width="22.42578125" bestFit="1" customWidth="1"/>
    <col min="3" max="3" width="23" bestFit="1" customWidth="1"/>
    <col min="4" max="4" width="24.140625" bestFit="1" customWidth="1"/>
    <col min="5" max="5" width="21" bestFit="1" customWidth="1"/>
    <col min="6" max="6" width="21.7109375" bestFit="1" customWidth="1"/>
    <col min="7" max="7" width="24.5703125" bestFit="1" customWidth="1"/>
    <col min="8" max="8" width="23.5703125" bestFit="1" customWidth="1"/>
    <col min="9" max="9" width="22.85546875" bestFit="1" customWidth="1"/>
    <col min="10" max="10" width="24" bestFit="1" customWidth="1"/>
  </cols>
  <sheetData>
    <row r="1" spans="1:3" x14ac:dyDescent="0.25">
      <c r="A1" s="1" t="s">
        <v>0</v>
      </c>
      <c r="B1" s="2">
        <v>2020</v>
      </c>
    </row>
    <row r="3" spans="1:3" x14ac:dyDescent="0.25">
      <c r="A3" s="1" t="s">
        <v>4</v>
      </c>
      <c r="B3" t="s">
        <v>170</v>
      </c>
      <c r="C3" t="s">
        <v>171</v>
      </c>
    </row>
    <row r="4" spans="1:3" x14ac:dyDescent="0.25">
      <c r="A4" s="2" t="s">
        <v>141</v>
      </c>
      <c r="B4" s="95">
        <v>13.52965781</v>
      </c>
      <c r="C4" s="95">
        <v>13.5</v>
      </c>
    </row>
    <row r="5" spans="1:3" x14ac:dyDescent="0.25">
      <c r="A5" s="2" t="s">
        <v>142</v>
      </c>
      <c r="B5" s="95">
        <v>0.29858605999999999</v>
      </c>
      <c r="C5" s="95">
        <v>0.125</v>
      </c>
    </row>
    <row r="6" spans="1:3" x14ac:dyDescent="0.25">
      <c r="A6" s="2" t="s">
        <v>143</v>
      </c>
      <c r="B6" s="95">
        <v>1.5626610000000001</v>
      </c>
      <c r="C6" s="95">
        <v>1.65</v>
      </c>
    </row>
    <row r="7" spans="1:3" x14ac:dyDescent="0.25">
      <c r="A7" s="2" t="s">
        <v>140</v>
      </c>
      <c r="B7" s="95">
        <v>34.362528510000004</v>
      </c>
      <c r="C7" s="95">
        <v>31.38</v>
      </c>
    </row>
    <row r="8" spans="1:3" x14ac:dyDescent="0.25">
      <c r="A8" s="2" t="s">
        <v>5</v>
      </c>
      <c r="B8" s="3">
        <v>49.753433380000004</v>
      </c>
      <c r="C8" s="3">
        <v>46.655000000000001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A5" sqref="A5:A16"/>
    </sheetView>
  </sheetViews>
  <sheetFormatPr defaultRowHeight="15" x14ac:dyDescent="0.25"/>
  <cols>
    <col min="1" max="1" width="9.5703125" bestFit="1" customWidth="1"/>
    <col min="2" max="2" width="20.85546875" bestFit="1" customWidth="1"/>
    <col min="3" max="3" width="34.140625" bestFit="1" customWidth="1"/>
    <col min="4" max="4" width="12" bestFit="1" customWidth="1"/>
    <col min="5" max="5" width="20.7109375" bestFit="1" customWidth="1"/>
    <col min="6" max="6" width="22.85546875" bestFit="1" customWidth="1"/>
    <col min="7" max="7" width="19.85546875" bestFit="1" customWidth="1"/>
    <col min="8" max="9" width="21" bestFit="1" customWidth="1"/>
    <col min="10" max="10" width="21.7109375" bestFit="1" customWidth="1"/>
    <col min="11" max="11" width="24.5703125" bestFit="1" customWidth="1"/>
    <col min="12" max="12" width="23.5703125" bestFit="1" customWidth="1"/>
    <col min="13" max="13" width="22.85546875" bestFit="1" customWidth="1"/>
    <col min="14" max="14" width="24" bestFit="1" customWidth="1"/>
    <col min="15" max="15" width="22.42578125" bestFit="1" customWidth="1"/>
  </cols>
  <sheetData>
    <row r="1" spans="1:4" x14ac:dyDescent="0.25">
      <c r="A1" s="1" t="s">
        <v>0</v>
      </c>
      <c r="B1" s="2">
        <v>2020</v>
      </c>
    </row>
    <row r="3" spans="1:4" x14ac:dyDescent="0.25">
      <c r="B3" s="1" t="s">
        <v>6</v>
      </c>
    </row>
    <row r="4" spans="1:4" x14ac:dyDescent="0.25">
      <c r="A4" s="1" t="s">
        <v>153</v>
      </c>
      <c r="B4" t="s">
        <v>22</v>
      </c>
      <c r="C4" t="s">
        <v>144</v>
      </c>
      <c r="D4" t="s">
        <v>5</v>
      </c>
    </row>
    <row r="5" spans="1:4" x14ac:dyDescent="0.25">
      <c r="A5" s="2" t="s">
        <v>175</v>
      </c>
      <c r="B5" s="95">
        <v>10.26354319</v>
      </c>
      <c r="C5" s="95">
        <v>0.90432848000000043</v>
      </c>
      <c r="D5" s="3">
        <v>11.16787167</v>
      </c>
    </row>
    <row r="6" spans="1:4" x14ac:dyDescent="0.25">
      <c r="A6" s="2" t="s">
        <v>176</v>
      </c>
      <c r="B6" s="95">
        <v>2.1285270400000011</v>
      </c>
      <c r="C6" s="95">
        <v>-7.503005000000075E-2</v>
      </c>
      <c r="D6" s="3">
        <v>2.0534969900000002</v>
      </c>
    </row>
    <row r="7" spans="1:4" x14ac:dyDescent="0.25">
      <c r="A7" s="2" t="s">
        <v>177</v>
      </c>
      <c r="B7" s="95">
        <v>0.37687432000000032</v>
      </c>
      <c r="C7" s="95">
        <v>0.58166904999999891</v>
      </c>
      <c r="D7" s="3">
        <v>0.95854336999999923</v>
      </c>
    </row>
    <row r="8" spans="1:4" x14ac:dyDescent="0.25">
      <c r="A8" s="2" t="s">
        <v>178</v>
      </c>
      <c r="B8" s="95">
        <v>7.9997260199999998</v>
      </c>
      <c r="C8" s="95">
        <v>0.78015641999999996</v>
      </c>
      <c r="D8" s="3">
        <v>8.7798824399999997</v>
      </c>
    </row>
    <row r="9" spans="1:4" x14ac:dyDescent="0.25">
      <c r="A9" s="2" t="s">
        <v>179</v>
      </c>
      <c r="B9" s="95">
        <v>1.0309688000000008</v>
      </c>
      <c r="C9" s="95">
        <v>0.24376930999999866</v>
      </c>
      <c r="D9" s="3">
        <v>1.2747381099999995</v>
      </c>
    </row>
    <row r="10" spans="1:4" x14ac:dyDescent="0.25">
      <c r="A10" s="2" t="s">
        <v>180</v>
      </c>
      <c r="B10" s="95">
        <v>0.40290723999999833</v>
      </c>
      <c r="C10" s="95">
        <v>0.16494338000000269</v>
      </c>
      <c r="D10" s="3">
        <v>0.56785062000000108</v>
      </c>
    </row>
    <row r="11" spans="1:4" x14ac:dyDescent="0.25">
      <c r="A11" s="2" t="s">
        <v>181</v>
      </c>
      <c r="B11" s="95">
        <v>8.6104571099999987</v>
      </c>
      <c r="C11" s="95">
        <v>0.92031589000000436</v>
      </c>
      <c r="D11" s="3">
        <v>9.5307730000000035</v>
      </c>
    </row>
    <row r="12" spans="1:4" x14ac:dyDescent="0.25">
      <c r="A12" s="2" t="s">
        <v>182</v>
      </c>
      <c r="B12" s="95">
        <v>0.53069808000000196</v>
      </c>
      <c r="C12" s="95">
        <v>0.3636971199999936</v>
      </c>
      <c r="D12" s="3">
        <v>0.8943951999999955</v>
      </c>
    </row>
    <row r="13" spans="1:4" x14ac:dyDescent="0.25">
      <c r="A13" s="2" t="s">
        <v>183</v>
      </c>
      <c r="B13" s="95">
        <v>0.40242099999999997</v>
      </c>
      <c r="C13" s="95">
        <v>0.76730552000000329</v>
      </c>
      <c r="D13" s="3">
        <v>1.1697265200000033</v>
      </c>
    </row>
    <row r="14" spans="1:4" x14ac:dyDescent="0.25">
      <c r="A14" s="2" t="s">
        <v>184</v>
      </c>
      <c r="B14" s="95">
        <v>7.7132699400000018</v>
      </c>
      <c r="C14" s="95">
        <v>3.9742790099999943</v>
      </c>
      <c r="D14" s="3">
        <v>11.687548949999996</v>
      </c>
    </row>
    <row r="15" spans="1:4" x14ac:dyDescent="0.25">
      <c r="A15" s="2" t="s">
        <v>185</v>
      </c>
      <c r="B15" s="95">
        <v>1.8722538799999953</v>
      </c>
      <c r="C15" s="95">
        <v>7.8530444800000039</v>
      </c>
      <c r="D15" s="3">
        <v>9.72529836</v>
      </c>
    </row>
    <row r="16" spans="1:4" x14ac:dyDescent="0.25">
      <c r="A16" s="2" t="s">
        <v>186</v>
      </c>
      <c r="B16" s="95">
        <v>2.009972690000005</v>
      </c>
      <c r="C16" s="95">
        <v>4.946251229999997</v>
      </c>
      <c r="D16" s="3">
        <v>6.956223920000002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19.7109375" bestFit="1" customWidth="1"/>
    <col min="2" max="2" width="22.42578125" bestFit="1" customWidth="1"/>
    <col min="3" max="3" width="23" bestFit="1" customWidth="1"/>
  </cols>
  <sheetData>
    <row r="1" spans="1:3" x14ac:dyDescent="0.25">
      <c r="A1" s="1" t="s">
        <v>0</v>
      </c>
      <c r="B1" s="2">
        <v>2020</v>
      </c>
    </row>
    <row r="3" spans="1:3" x14ac:dyDescent="0.25">
      <c r="A3" s="1" t="s">
        <v>4</v>
      </c>
      <c r="B3" t="s">
        <v>170</v>
      </c>
      <c r="C3" t="s">
        <v>171</v>
      </c>
    </row>
    <row r="4" spans="1:3" x14ac:dyDescent="0.25">
      <c r="A4" s="2" t="s">
        <v>22</v>
      </c>
      <c r="B4" s="155">
        <v>43.341619309999999</v>
      </c>
      <c r="C4" s="155">
        <v>40.5</v>
      </c>
    </row>
    <row r="5" spans="1:3" x14ac:dyDescent="0.25">
      <c r="A5" s="2" t="s">
        <v>172</v>
      </c>
      <c r="B5" s="155">
        <v>21.424729839999998</v>
      </c>
      <c r="C5" s="155">
        <v>19.55</v>
      </c>
    </row>
    <row r="6" spans="1:3" x14ac:dyDescent="0.25">
      <c r="A6" s="2" t="s">
        <v>5</v>
      </c>
      <c r="B6" s="3">
        <v>64.766349149999996</v>
      </c>
      <c r="C6" s="3">
        <v>60.05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:A16"/>
    </sheetView>
  </sheetViews>
  <sheetFormatPr defaultRowHeight="15" x14ac:dyDescent="0.25"/>
  <cols>
    <col min="1" max="1" width="17.28515625" bestFit="1" customWidth="1"/>
    <col min="2" max="2" width="22.42578125" bestFit="1" customWidth="1"/>
    <col min="3" max="3" width="23" bestFit="1" customWidth="1"/>
  </cols>
  <sheetData>
    <row r="1" spans="1:3" x14ac:dyDescent="0.25">
      <c r="A1" s="1" t="s">
        <v>0</v>
      </c>
      <c r="B1" s="2">
        <v>2020</v>
      </c>
    </row>
    <row r="3" spans="1:3" x14ac:dyDescent="0.25">
      <c r="A3" s="1" t="s">
        <v>4</v>
      </c>
      <c r="B3" t="s">
        <v>170</v>
      </c>
      <c r="C3" t="s">
        <v>171</v>
      </c>
    </row>
    <row r="4" spans="1:3" x14ac:dyDescent="0.25">
      <c r="A4" s="2" t="s">
        <v>173</v>
      </c>
      <c r="B4" s="155">
        <v>42.442191499999993</v>
      </c>
      <c r="C4" s="155">
        <v>41.4</v>
      </c>
    </row>
    <row r="5" spans="1:3" x14ac:dyDescent="0.25">
      <c r="A5" s="2" t="s">
        <v>174</v>
      </c>
      <c r="B5" s="155">
        <v>21.445868780000001</v>
      </c>
      <c r="C5" s="155">
        <v>20.7</v>
      </c>
    </row>
    <row r="6" spans="1:3" x14ac:dyDescent="0.25">
      <c r="A6" s="2" t="s">
        <v>5</v>
      </c>
      <c r="B6" s="3">
        <v>63.888060279999991</v>
      </c>
      <c r="C6" s="3">
        <v>62.099999999999994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7" sqref="D7"/>
    </sheetView>
  </sheetViews>
  <sheetFormatPr defaultRowHeight="15" x14ac:dyDescent="0.25"/>
  <cols>
    <col min="1" max="1" width="9.5703125" bestFit="1" customWidth="1"/>
    <col min="2" max="2" width="20.85546875" bestFit="1" customWidth="1"/>
    <col min="3" max="3" width="9.42578125" bestFit="1" customWidth="1"/>
    <col min="4" max="4" width="11.85546875" bestFit="1" customWidth="1"/>
    <col min="5" max="13" width="11.85546875" customWidth="1"/>
  </cols>
  <sheetData>
    <row r="1" spans="1:4" x14ac:dyDescent="0.25">
      <c r="A1" s="1" t="s">
        <v>0</v>
      </c>
      <c r="B1" s="2">
        <v>2020</v>
      </c>
    </row>
    <row r="3" spans="1:4" x14ac:dyDescent="0.25">
      <c r="B3" s="1" t="s">
        <v>6</v>
      </c>
    </row>
    <row r="4" spans="1:4" x14ac:dyDescent="0.25">
      <c r="A4" s="1" t="s">
        <v>153</v>
      </c>
      <c r="B4" t="s">
        <v>173</v>
      </c>
      <c r="C4" t="s">
        <v>174</v>
      </c>
      <c r="D4" t="s">
        <v>5</v>
      </c>
    </row>
    <row r="5" spans="1:4" x14ac:dyDescent="0.25">
      <c r="A5" s="2" t="s">
        <v>175</v>
      </c>
      <c r="B5" s="155">
        <v>5.3102859699999998</v>
      </c>
      <c r="C5" s="155">
        <v>1.6415881699999999</v>
      </c>
      <c r="D5" s="155">
        <v>6.9518741399999993</v>
      </c>
    </row>
    <row r="6" spans="1:4" x14ac:dyDescent="0.25">
      <c r="A6" s="2" t="s">
        <v>176</v>
      </c>
      <c r="B6" s="155">
        <v>1.5603545300000004</v>
      </c>
      <c r="C6" s="155">
        <v>1.5393652499999999</v>
      </c>
      <c r="D6" s="155">
        <v>3.09971978</v>
      </c>
    </row>
    <row r="7" spans="1:4" x14ac:dyDescent="0.25">
      <c r="A7" s="2" t="s">
        <v>177</v>
      </c>
      <c r="B7" s="155">
        <v>4.6704238399999998</v>
      </c>
      <c r="C7" s="155">
        <v>0.19161937999999989</v>
      </c>
      <c r="D7" s="155">
        <v>4.8620432199999994</v>
      </c>
    </row>
    <row r="8" spans="1:4" x14ac:dyDescent="0.25">
      <c r="A8" s="2" t="s">
        <v>178</v>
      </c>
      <c r="B8" s="155">
        <v>3.7237581400000006</v>
      </c>
      <c r="C8" s="155">
        <v>2.1333517800000004</v>
      </c>
      <c r="D8" s="155">
        <v>5.857109920000001</v>
      </c>
    </row>
    <row r="9" spans="1:4" x14ac:dyDescent="0.25">
      <c r="A9" s="2" t="s">
        <v>179</v>
      </c>
      <c r="B9" s="155">
        <v>1.2605517899999992</v>
      </c>
      <c r="C9" s="155">
        <v>1.1820987000000003</v>
      </c>
      <c r="D9" s="155">
        <v>2.4426504899999992</v>
      </c>
    </row>
    <row r="10" spans="1:4" x14ac:dyDescent="0.25">
      <c r="A10" s="2" t="s">
        <v>180</v>
      </c>
      <c r="B10" s="155">
        <v>3.0279246200000012</v>
      </c>
      <c r="C10" s="155">
        <v>2.0522065699999992</v>
      </c>
      <c r="D10" s="155">
        <v>5.0801311900000004</v>
      </c>
    </row>
    <row r="11" spans="1:4" x14ac:dyDescent="0.25">
      <c r="A11" s="2" t="s">
        <v>181</v>
      </c>
      <c r="B11" s="155">
        <v>4.2553342699999996</v>
      </c>
      <c r="C11" s="155">
        <v>2.6298918200000001</v>
      </c>
      <c r="D11" s="155">
        <v>6.8852260899999997</v>
      </c>
    </row>
    <row r="12" spans="1:4" x14ac:dyDescent="0.25">
      <c r="A12" s="2" t="s">
        <v>182</v>
      </c>
      <c r="B12" s="155">
        <v>1.6284654699999987</v>
      </c>
      <c r="C12" s="155">
        <v>1.9465846999999992</v>
      </c>
      <c r="D12" s="155">
        <v>3.5750501699999981</v>
      </c>
    </row>
    <row r="13" spans="1:4" x14ac:dyDescent="0.25">
      <c r="A13" s="2" t="s">
        <v>183</v>
      </c>
      <c r="B13" s="155">
        <v>4.2647671900000015</v>
      </c>
      <c r="C13" s="155">
        <v>1.4226377800000012</v>
      </c>
      <c r="D13" s="155">
        <v>5.6874049700000029</v>
      </c>
    </row>
    <row r="14" spans="1:4" x14ac:dyDescent="0.25">
      <c r="A14" s="2" t="s">
        <v>184</v>
      </c>
      <c r="B14" s="155">
        <v>6.5986370000000001</v>
      </c>
      <c r="C14" s="155">
        <v>2.2944349599999989</v>
      </c>
      <c r="D14" s="155">
        <v>8.8930719599999986</v>
      </c>
    </row>
    <row r="15" spans="1:4" x14ac:dyDescent="0.25">
      <c r="A15" s="2" t="s">
        <v>185</v>
      </c>
      <c r="B15" s="155">
        <v>1.8340025</v>
      </c>
      <c r="C15" s="155">
        <v>1.0317411700000019</v>
      </c>
      <c r="D15" s="155">
        <v>2.8657436700000019</v>
      </c>
    </row>
    <row r="16" spans="1:4" x14ac:dyDescent="0.25">
      <c r="A16" s="2" t="s">
        <v>186</v>
      </c>
      <c r="B16" s="155">
        <v>4.3076861800000001</v>
      </c>
      <c r="C16" s="155">
        <v>3.3803485000000002</v>
      </c>
      <c r="D16" s="155">
        <v>7.6880346800000003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32" sqref="C32"/>
    </sheetView>
  </sheetViews>
  <sheetFormatPr defaultRowHeight="15" x14ac:dyDescent="0.25"/>
  <cols>
    <col min="1" max="1" width="33.28515625" bestFit="1" customWidth="1"/>
    <col min="2" max="2" width="22.42578125" bestFit="1" customWidth="1"/>
    <col min="3" max="3" width="23" bestFit="1" customWidth="1"/>
  </cols>
  <sheetData>
    <row r="1" spans="1:3" x14ac:dyDescent="0.25">
      <c r="A1" s="1" t="s">
        <v>0</v>
      </c>
      <c r="B1" s="2">
        <v>2020</v>
      </c>
    </row>
    <row r="3" spans="1:3" x14ac:dyDescent="0.25">
      <c r="A3" s="1" t="s">
        <v>4</v>
      </c>
      <c r="B3" t="s">
        <v>170</v>
      </c>
      <c r="C3" t="s">
        <v>171</v>
      </c>
    </row>
    <row r="4" spans="1:3" x14ac:dyDescent="0.25">
      <c r="A4" s="2" t="s">
        <v>187</v>
      </c>
      <c r="B4" s="3">
        <v>1564.97893987</v>
      </c>
      <c r="C4" s="3">
        <v>1545.19071874</v>
      </c>
    </row>
    <row r="5" spans="1:3" x14ac:dyDescent="0.25">
      <c r="A5" s="2" t="s">
        <v>95</v>
      </c>
      <c r="B5" s="3">
        <v>1094.57065296</v>
      </c>
      <c r="C5" s="3">
        <v>1104.5149487399999</v>
      </c>
    </row>
    <row r="6" spans="1:3" x14ac:dyDescent="0.25">
      <c r="A6" s="2" t="s">
        <v>188</v>
      </c>
      <c r="B6" s="3">
        <v>470.4082869099999</v>
      </c>
      <c r="C6" s="3">
        <v>440.67577000000006</v>
      </c>
    </row>
    <row r="7" spans="1:3" x14ac:dyDescent="0.25">
      <c r="A7" s="2" t="s">
        <v>5</v>
      </c>
      <c r="B7" s="3">
        <v>3129.9578797399995</v>
      </c>
      <c r="C7" s="3">
        <v>3090.3814374799995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opLeftCell="C1" zoomScale="70" zoomScaleNormal="70" workbookViewId="0">
      <selection activeCell="R13" sqref="R13"/>
    </sheetView>
  </sheetViews>
  <sheetFormatPr defaultRowHeight="15" x14ac:dyDescent="0.25"/>
  <cols>
    <col min="1" max="1" width="9.28515625" customWidth="1"/>
    <col min="2" max="2" width="77.140625" customWidth="1"/>
    <col min="4" max="17" width="17.42578125" customWidth="1"/>
  </cols>
  <sheetData>
    <row r="1" spans="1:18" ht="15.75" thickBot="1" x14ac:dyDescent="0.3">
      <c r="A1" s="135" t="s">
        <v>9</v>
      </c>
      <c r="B1" s="135" t="s">
        <v>8</v>
      </c>
      <c r="C1" s="135" t="s">
        <v>0</v>
      </c>
      <c r="D1" s="135" t="s">
        <v>138</v>
      </c>
      <c r="E1" s="135" t="s">
        <v>139</v>
      </c>
      <c r="F1" s="135" t="s">
        <v>123</v>
      </c>
      <c r="G1" s="135" t="s">
        <v>124</v>
      </c>
      <c r="H1" s="135" t="s">
        <v>125</v>
      </c>
      <c r="I1" s="135" t="s">
        <v>126</v>
      </c>
      <c r="J1" s="135" t="s">
        <v>127</v>
      </c>
      <c r="K1" s="135" t="s">
        <v>128</v>
      </c>
      <c r="L1" s="135" t="s">
        <v>129</v>
      </c>
      <c r="M1" s="135" t="s">
        <v>130</v>
      </c>
      <c r="N1" s="135" t="s">
        <v>131</v>
      </c>
      <c r="O1" s="135" t="s">
        <v>132</v>
      </c>
      <c r="P1" s="135" t="s">
        <v>133</v>
      </c>
      <c r="Q1" s="135" t="s">
        <v>134</v>
      </c>
      <c r="R1" s="135" t="s">
        <v>169</v>
      </c>
    </row>
    <row r="2" spans="1:18" x14ac:dyDescent="0.25">
      <c r="A2" s="105" t="s">
        <v>147</v>
      </c>
      <c r="B2" s="112" t="s">
        <v>145</v>
      </c>
      <c r="C2" s="106">
        <v>2020</v>
      </c>
      <c r="D2" s="118">
        <v>1400.574736</v>
      </c>
      <c r="E2" s="118">
        <v>1545.19071874</v>
      </c>
      <c r="F2" s="118">
        <v>114.59704120000001</v>
      </c>
      <c r="G2" s="118">
        <v>99.521032290000008</v>
      </c>
      <c r="H2" s="118">
        <v>88.088821440000004</v>
      </c>
      <c r="I2" s="118">
        <v>184.30393232</v>
      </c>
      <c r="J2" s="118">
        <v>89.51425435000003</v>
      </c>
      <c r="K2" s="118">
        <v>75.571499110000019</v>
      </c>
      <c r="L2" s="118">
        <v>111.84079749000001</v>
      </c>
      <c r="M2" s="118">
        <v>101.8913489799999</v>
      </c>
      <c r="N2" s="118">
        <v>187.84213112</v>
      </c>
      <c r="O2" s="118">
        <v>174.62929294000006</v>
      </c>
      <c r="P2" s="118">
        <v>109.1506246400001</v>
      </c>
      <c r="Q2" s="118">
        <v>228.02816398999977</v>
      </c>
      <c r="R2" s="152">
        <f>SUM(Таблица3[[#This Row],[январь]:[декабрь]])</f>
        <v>1564.97893987</v>
      </c>
    </row>
    <row r="3" spans="1:18" x14ac:dyDescent="0.25">
      <c r="A3" s="147" t="s">
        <v>151</v>
      </c>
      <c r="B3" s="148" t="s">
        <v>152</v>
      </c>
      <c r="C3" s="149">
        <v>2020</v>
      </c>
      <c r="D3" s="150">
        <f>D2-D13</f>
        <v>466.00800000000004</v>
      </c>
      <c r="E3" s="150">
        <f t="shared" ref="E3:P3" si="0">E2-E13</f>
        <v>440.67577000000006</v>
      </c>
      <c r="F3" s="150">
        <f t="shared" si="0"/>
        <v>41.447455600000012</v>
      </c>
      <c r="G3" s="150">
        <f t="shared" si="0"/>
        <v>32.994732290000002</v>
      </c>
      <c r="H3" s="150">
        <f t="shared" si="0"/>
        <v>34.960667090000008</v>
      </c>
      <c r="I3" s="150">
        <f t="shared" si="0"/>
        <v>39.741006019999986</v>
      </c>
      <c r="J3" s="150">
        <f t="shared" si="0"/>
        <v>22.098887930000018</v>
      </c>
      <c r="K3" s="150">
        <f t="shared" si="0"/>
        <v>30.156218980000027</v>
      </c>
      <c r="L3" s="150">
        <f t="shared" si="0"/>
        <v>47.905076190000003</v>
      </c>
      <c r="M3" s="150">
        <f t="shared" si="0"/>
        <v>30.846285449999939</v>
      </c>
      <c r="N3" s="150">
        <f t="shared" si="0"/>
        <v>34.354272919999971</v>
      </c>
      <c r="O3" s="150">
        <f t="shared" si="0"/>
        <v>54.290234550000065</v>
      </c>
      <c r="P3" s="150">
        <f t="shared" si="0"/>
        <v>41.057574850000137</v>
      </c>
      <c r="Q3" s="150">
        <f>Q2-Q13</f>
        <v>60.555875039999734</v>
      </c>
      <c r="R3" s="121">
        <f>SUM(Таблица3[[#This Row],[январь]:[декабрь]])</f>
        <v>470.4082869099999</v>
      </c>
    </row>
    <row r="4" spans="1:18" x14ac:dyDescent="0.25">
      <c r="A4" s="107" t="s">
        <v>148</v>
      </c>
      <c r="B4" s="110" t="s">
        <v>2</v>
      </c>
      <c r="C4" s="78">
        <v>2020</v>
      </c>
      <c r="D4" s="119">
        <v>266.428</v>
      </c>
      <c r="E4" s="119">
        <v>253.36349999999999</v>
      </c>
      <c r="F4" s="119">
        <v>15.574180119999999</v>
      </c>
      <c r="G4" s="119">
        <v>23.611851970000007</v>
      </c>
      <c r="H4" s="119">
        <v>22.329753659999998</v>
      </c>
      <c r="I4" s="119">
        <v>16.781248609999999</v>
      </c>
      <c r="J4" s="119">
        <v>14.414470010000006</v>
      </c>
      <c r="K4" s="119">
        <v>21.852066519999997</v>
      </c>
      <c r="L4" s="119">
        <v>23.594129779999985</v>
      </c>
      <c r="M4" s="119">
        <v>22.206769770000012</v>
      </c>
      <c r="N4" s="119">
        <v>22.506284999999998</v>
      </c>
      <c r="O4" s="119">
        <v>23.897058770000012</v>
      </c>
      <c r="P4" s="119">
        <v>24.343005799999982</v>
      </c>
      <c r="Q4" s="119">
        <v>41.071586050000015</v>
      </c>
      <c r="R4" s="121">
        <f>SUM(Таблица3[[#This Row],[январь]:[декабрь]])</f>
        <v>272.18240606000001</v>
      </c>
    </row>
    <row r="5" spans="1:18" x14ac:dyDescent="0.25">
      <c r="A5" s="107" t="s">
        <v>149</v>
      </c>
      <c r="B5" s="110" t="s">
        <v>140</v>
      </c>
      <c r="C5" s="78">
        <v>2020</v>
      </c>
      <c r="D5" s="119">
        <v>33</v>
      </c>
      <c r="E5" s="119">
        <v>31.38</v>
      </c>
      <c r="F5" s="119">
        <v>1.7909120300000001</v>
      </c>
      <c r="G5" s="119">
        <v>2.2249622499999999</v>
      </c>
      <c r="H5" s="119">
        <v>4.2648911500000004</v>
      </c>
      <c r="I5" s="119">
        <v>4.3076198300000001</v>
      </c>
      <c r="J5" s="119">
        <v>2.2709772799999994</v>
      </c>
      <c r="K5" s="119">
        <v>1.0495953800000009</v>
      </c>
      <c r="L5" s="119">
        <v>4.2825377599999994</v>
      </c>
      <c r="M5" s="119">
        <v>1.9362594100000001</v>
      </c>
      <c r="N5" s="119">
        <v>2.7797282199999986</v>
      </c>
      <c r="O5" s="119">
        <v>5.3261447900000025</v>
      </c>
      <c r="P5" s="119">
        <v>1.841914919999998</v>
      </c>
      <c r="Q5" s="119">
        <v>2.2869854899999984</v>
      </c>
      <c r="R5" s="121">
        <f>SUM(Таблица3[[#This Row],[январь]:[декабрь]])</f>
        <v>34.362528510000004</v>
      </c>
    </row>
    <row r="6" spans="1:18" x14ac:dyDescent="0.25">
      <c r="A6" s="107" t="s">
        <v>149</v>
      </c>
      <c r="B6" s="110" t="s">
        <v>141</v>
      </c>
      <c r="C6" s="78">
        <v>2020</v>
      </c>
      <c r="D6" s="119">
        <v>16.8</v>
      </c>
      <c r="E6" s="119">
        <v>13.5</v>
      </c>
      <c r="F6" s="119">
        <v>4.4619260499999998</v>
      </c>
      <c r="G6" s="119">
        <v>0.18886977000000049</v>
      </c>
      <c r="H6" s="119">
        <v>0.30026919999999924</v>
      </c>
      <c r="I6" s="119">
        <v>2.5183508000000008</v>
      </c>
      <c r="J6" s="119">
        <v>0.45082879000000003</v>
      </c>
      <c r="K6" s="119">
        <v>0.13799051999999956</v>
      </c>
      <c r="L6" s="119">
        <v>1.71993796</v>
      </c>
      <c r="M6" s="119">
        <v>0.31486524000000021</v>
      </c>
      <c r="N6" s="119">
        <v>0.14817524000000024</v>
      </c>
      <c r="O6" s="119">
        <v>2.8523731299999988</v>
      </c>
      <c r="P6" s="119">
        <v>0.31125245000000112</v>
      </c>
      <c r="Q6" s="119">
        <v>0.12481866000000015</v>
      </c>
      <c r="R6" s="121">
        <f>SUM(Таблица3[[#This Row],[январь]:[декабрь]])</f>
        <v>13.52965781</v>
      </c>
    </row>
    <row r="7" spans="1:18" x14ac:dyDescent="0.25">
      <c r="A7" s="107" t="s">
        <v>149</v>
      </c>
      <c r="B7" s="110" t="s">
        <v>142</v>
      </c>
      <c r="C7" s="78">
        <v>2020</v>
      </c>
      <c r="D7" s="119">
        <v>1.4999999999999999E-2</v>
      </c>
      <c r="E7" s="119">
        <v>0.125</v>
      </c>
      <c r="F7" s="119">
        <v>1E-4</v>
      </c>
      <c r="G7" s="119">
        <v>1.3799999999999999E-4</v>
      </c>
      <c r="H7" s="119">
        <v>2.3362999999999998E-2</v>
      </c>
      <c r="I7" s="119">
        <v>2.3895000000000001E-3</v>
      </c>
      <c r="J7" s="119">
        <v>-1.3545E-3</v>
      </c>
      <c r="K7" s="119">
        <v>1.1294999999999999E-2</v>
      </c>
      <c r="L7" s="119">
        <v>-5.9030600000000016E-3</v>
      </c>
      <c r="M7" s="119">
        <v>0</v>
      </c>
      <c r="N7" s="119">
        <v>7.2164099999999995E-3</v>
      </c>
      <c r="O7" s="119">
        <v>-8.3344699999999983E-3</v>
      </c>
      <c r="P7" s="119">
        <v>-3.9881999999999971E-4</v>
      </c>
      <c r="Q7" s="119">
        <v>0.27007500000000001</v>
      </c>
      <c r="R7" s="121">
        <f>SUM(Таблица3[[#This Row],[январь]:[декабрь]])</f>
        <v>0.29858605999999999</v>
      </c>
    </row>
    <row r="8" spans="1:18" x14ac:dyDescent="0.25">
      <c r="A8" s="107" t="s">
        <v>149</v>
      </c>
      <c r="B8" s="110" t="s">
        <v>143</v>
      </c>
      <c r="C8" s="78">
        <v>2020</v>
      </c>
      <c r="D8" s="119">
        <v>1.9390000000000001</v>
      </c>
      <c r="E8" s="119">
        <v>1.65</v>
      </c>
      <c r="F8" s="119">
        <v>8.2292950000000004E-2</v>
      </c>
      <c r="G8" s="119">
        <v>4.4445510000000008E-2</v>
      </c>
      <c r="H8" s="119">
        <v>0.25195932999999998</v>
      </c>
      <c r="I8" s="119">
        <v>3.0357010000000011E-2</v>
      </c>
      <c r="J8" s="119">
        <v>5.2076900000000027E-3</v>
      </c>
      <c r="K8" s="119">
        <v>0.14639350000000001</v>
      </c>
      <c r="L8" s="119">
        <v>5.3801930000000053E-2</v>
      </c>
      <c r="M8" s="119">
        <v>2.3088329999999959E-2</v>
      </c>
      <c r="N8" s="119">
        <v>0.13282685999999999</v>
      </c>
      <c r="O8" s="119">
        <v>3.0467459999999964E-2</v>
      </c>
      <c r="P8" s="119">
        <v>0.26711330000000016</v>
      </c>
      <c r="Q8" s="119">
        <v>0.49470712999999988</v>
      </c>
      <c r="R8" s="121">
        <f>SUM(Таблица3[[#This Row],[январь]:[декабрь]])</f>
        <v>1.5626610000000001</v>
      </c>
    </row>
    <row r="9" spans="1:18" x14ac:dyDescent="0.25">
      <c r="A9" s="107" t="s">
        <v>150</v>
      </c>
      <c r="B9" s="110" t="s">
        <v>144</v>
      </c>
      <c r="C9" s="78">
        <v>2020</v>
      </c>
      <c r="D9" s="119">
        <v>20.183</v>
      </c>
      <c r="E9" s="119">
        <v>19.55</v>
      </c>
      <c r="F9" s="119">
        <v>0.90432848000000043</v>
      </c>
      <c r="G9" s="119">
        <v>-7.503005000000075E-2</v>
      </c>
      <c r="H9" s="119">
        <v>0.58166904999999891</v>
      </c>
      <c r="I9" s="119">
        <v>0.78015641999999996</v>
      </c>
      <c r="J9" s="119">
        <v>0.24376930999999866</v>
      </c>
      <c r="K9" s="119">
        <v>0.16494338000000269</v>
      </c>
      <c r="L9" s="119">
        <v>0.92031589000000436</v>
      </c>
      <c r="M9" s="119">
        <v>0.3636971199999936</v>
      </c>
      <c r="N9" s="119">
        <v>0.76730552000000329</v>
      </c>
      <c r="O9" s="119">
        <v>3.9742790099999943</v>
      </c>
      <c r="P9" s="119">
        <v>7.8530444800000039</v>
      </c>
      <c r="Q9" s="119">
        <v>4.946251229999997</v>
      </c>
      <c r="R9" s="121">
        <f>SUM(Таблица3[[#This Row],[январь]:[декабрь]])</f>
        <v>21.424729839999998</v>
      </c>
    </row>
    <row r="10" spans="1:18" x14ac:dyDescent="0.25">
      <c r="A10" s="107" t="s">
        <v>150</v>
      </c>
      <c r="B10" s="110" t="s">
        <v>22</v>
      </c>
      <c r="C10" s="78">
        <v>2020</v>
      </c>
      <c r="D10" s="119">
        <v>23.98</v>
      </c>
      <c r="E10" s="119">
        <v>40.5</v>
      </c>
      <c r="F10" s="119">
        <v>10.26354319</v>
      </c>
      <c r="G10" s="119">
        <v>2.1285270400000011</v>
      </c>
      <c r="H10" s="119">
        <v>0.37687432000000032</v>
      </c>
      <c r="I10" s="119">
        <v>7.9997260199999998</v>
      </c>
      <c r="J10" s="119">
        <v>1.0309688000000008</v>
      </c>
      <c r="K10" s="119">
        <v>0.40290723999999833</v>
      </c>
      <c r="L10" s="119">
        <v>8.6104571099999987</v>
      </c>
      <c r="M10" s="119">
        <v>0.53069808000000196</v>
      </c>
      <c r="N10" s="119">
        <v>0.40242099999999997</v>
      </c>
      <c r="O10" s="119">
        <v>7.7132699400000018</v>
      </c>
      <c r="P10" s="119">
        <v>1.8722538799999953</v>
      </c>
      <c r="Q10" s="119">
        <v>2.009972690000005</v>
      </c>
      <c r="R10" s="121">
        <f>SUM(Таблица3[[#This Row],[январь]:[декабрь]])</f>
        <v>43.341619309999999</v>
      </c>
    </row>
    <row r="11" spans="1:18" x14ac:dyDescent="0.25">
      <c r="A11" s="107" t="s">
        <v>3</v>
      </c>
      <c r="B11" s="78" t="s">
        <v>135</v>
      </c>
      <c r="C11" s="78">
        <v>2020</v>
      </c>
      <c r="D11" s="119">
        <v>50.25</v>
      </c>
      <c r="E11" s="119">
        <v>41.4</v>
      </c>
      <c r="F11" s="119">
        <v>5.3102859699999998</v>
      </c>
      <c r="G11" s="119">
        <v>1.5603545300000004</v>
      </c>
      <c r="H11" s="119">
        <v>4.6704238399999998</v>
      </c>
      <c r="I11" s="119">
        <v>3.7237581400000006</v>
      </c>
      <c r="J11" s="119">
        <v>1.2605517899999992</v>
      </c>
      <c r="K11" s="119">
        <v>3.0279246200000012</v>
      </c>
      <c r="L11" s="119">
        <v>4.2553342699999996</v>
      </c>
      <c r="M11" s="119">
        <v>1.6284654699999987</v>
      </c>
      <c r="N11" s="119">
        <v>4.2647671900000015</v>
      </c>
      <c r="O11" s="119">
        <v>6.5986370000000001</v>
      </c>
      <c r="P11" s="119">
        <v>1.8340025</v>
      </c>
      <c r="Q11" s="119">
        <v>4.3076861800000001</v>
      </c>
      <c r="R11" s="121">
        <f>SUM(Таблица3[[#This Row],[январь]:[декабрь]])</f>
        <v>42.442191499999993</v>
      </c>
    </row>
    <row r="12" spans="1:18" x14ac:dyDescent="0.25">
      <c r="A12" s="107" t="s">
        <v>3</v>
      </c>
      <c r="B12" s="78" t="s">
        <v>136</v>
      </c>
      <c r="C12" s="78">
        <v>2020</v>
      </c>
      <c r="D12" s="119">
        <v>36.380000000000003</v>
      </c>
      <c r="E12" s="119">
        <v>20.7</v>
      </c>
      <c r="F12" s="119">
        <v>1.6415881699999999</v>
      </c>
      <c r="G12" s="119">
        <v>1.5393652499999999</v>
      </c>
      <c r="H12" s="119">
        <v>0.19161937999999989</v>
      </c>
      <c r="I12" s="119">
        <v>2.1333517800000004</v>
      </c>
      <c r="J12" s="119">
        <v>1.1820987000000003</v>
      </c>
      <c r="K12" s="119">
        <v>2.0522065699999992</v>
      </c>
      <c r="L12" s="119">
        <v>2.6298918200000001</v>
      </c>
      <c r="M12" s="119">
        <v>1.9465846999999992</v>
      </c>
      <c r="N12" s="119">
        <v>1.4226377800000012</v>
      </c>
      <c r="O12" s="119">
        <v>2.2944349599999989</v>
      </c>
      <c r="P12" s="119">
        <v>1.0317411700000019</v>
      </c>
      <c r="Q12" s="119">
        <v>3.3803485000000002</v>
      </c>
      <c r="R12" s="121">
        <f>SUM(Таблица3[[#This Row],[январь]:[декабрь]])</f>
        <v>21.445868780000001</v>
      </c>
    </row>
    <row r="13" spans="1:18" ht="15.75" thickBot="1" x14ac:dyDescent="0.3">
      <c r="A13" s="123" t="s">
        <v>34</v>
      </c>
      <c r="B13" s="124" t="s">
        <v>137</v>
      </c>
      <c r="C13" s="125">
        <v>2020</v>
      </c>
      <c r="D13" s="126">
        <v>934.56673599999999</v>
      </c>
      <c r="E13" s="126">
        <v>1104.5149487399999</v>
      </c>
      <c r="F13" s="126">
        <v>73.149585599999995</v>
      </c>
      <c r="G13" s="126">
        <v>66.526300000000006</v>
      </c>
      <c r="H13" s="126">
        <v>53.128154349999996</v>
      </c>
      <c r="I13" s="126">
        <v>144.56292630000002</v>
      </c>
      <c r="J13" s="126">
        <v>67.415366420000012</v>
      </c>
      <c r="K13" s="126">
        <v>45.415280129999992</v>
      </c>
      <c r="L13" s="126">
        <v>63.935721300000012</v>
      </c>
      <c r="M13" s="126">
        <v>71.045063529999965</v>
      </c>
      <c r="N13" s="126">
        <v>153.48785820000003</v>
      </c>
      <c r="O13" s="126">
        <v>120.33905838999999</v>
      </c>
      <c r="P13" s="126">
        <v>68.093049789999966</v>
      </c>
      <c r="Q13" s="126">
        <v>167.47228895000003</v>
      </c>
      <c r="R13" s="121">
        <f>SUM(Таблица3[[#This Row],[январь]:[декабрь]])</f>
        <v>1094.57065296</v>
      </c>
    </row>
    <row r="14" spans="1:18" x14ac:dyDescent="0.25">
      <c r="A14" s="105" t="s">
        <v>147</v>
      </c>
      <c r="B14" s="113" t="s">
        <v>145</v>
      </c>
      <c r="C14" s="109">
        <v>2021</v>
      </c>
      <c r="D14" s="120">
        <v>1371.6722933200001</v>
      </c>
      <c r="E14" s="120">
        <v>1676.6358171500001</v>
      </c>
      <c r="F14" s="120">
        <v>73.337764289999996</v>
      </c>
      <c r="G14" s="120">
        <v>104.79650047000001</v>
      </c>
      <c r="H14" s="120">
        <v>111.74994891999998</v>
      </c>
      <c r="I14" s="120">
        <v>248.52653903000004</v>
      </c>
      <c r="J14" s="120">
        <v>40.69877591999996</v>
      </c>
      <c r="K14" s="120">
        <v>60.660071360000046</v>
      </c>
      <c r="L14" s="120">
        <v>126.41026167999998</v>
      </c>
      <c r="M14" s="120">
        <v>214.49017650999994</v>
      </c>
      <c r="N14" s="120">
        <v>115.66740628000004</v>
      </c>
      <c r="O14" s="120">
        <v>220.6045836000001</v>
      </c>
      <c r="P14" s="120">
        <v>124.33947517999989</v>
      </c>
      <c r="Q14" s="120">
        <v>223.60002401000006</v>
      </c>
      <c r="R14" s="121">
        <f>SUM(Таблица3[[#This Row],[январь]:[декабрь]])</f>
        <v>1664.8815272500001</v>
      </c>
    </row>
    <row r="15" spans="1:18" x14ac:dyDescent="0.25">
      <c r="A15" s="147" t="s">
        <v>151</v>
      </c>
      <c r="B15" s="148" t="s">
        <v>152</v>
      </c>
      <c r="C15" s="151">
        <v>2021</v>
      </c>
      <c r="D15" s="152">
        <f>D14-D25</f>
        <v>437.6228000000001</v>
      </c>
      <c r="E15" s="152">
        <f t="shared" ref="E15:Q15" si="1">E14-E25</f>
        <v>438.26498144000016</v>
      </c>
      <c r="F15" s="152">
        <f t="shared" si="1"/>
        <v>26.780695739999999</v>
      </c>
      <c r="G15" s="152">
        <f t="shared" si="1"/>
        <v>32.97751971000001</v>
      </c>
      <c r="H15" s="152">
        <f t="shared" si="1"/>
        <v>40.995366749999988</v>
      </c>
      <c r="I15" s="152">
        <f t="shared" si="1"/>
        <v>44.956571539999999</v>
      </c>
      <c r="J15" s="152">
        <f t="shared" si="1"/>
        <v>25.266221019999982</v>
      </c>
      <c r="K15" s="152">
        <f t="shared" si="1"/>
        <v>30.396256820000026</v>
      </c>
      <c r="L15" s="152">
        <f t="shared" si="1"/>
        <v>43.644589669999988</v>
      </c>
      <c r="M15" s="152">
        <f t="shared" si="1"/>
        <v>26.562862250000023</v>
      </c>
      <c r="N15" s="152">
        <f t="shared" si="1"/>
        <v>39.397886329999992</v>
      </c>
      <c r="O15" s="152">
        <f t="shared" si="1"/>
        <v>56.301440530000036</v>
      </c>
      <c r="P15" s="152">
        <f t="shared" si="1"/>
        <v>46.375165979999963</v>
      </c>
      <c r="Q15" s="152">
        <f t="shared" si="1"/>
        <v>68.684869630000065</v>
      </c>
      <c r="R15" s="121">
        <f>SUM(Таблица3[[#This Row],[январь]:[декабрь]])</f>
        <v>482.33944597000004</v>
      </c>
    </row>
    <row r="16" spans="1:18" x14ac:dyDescent="0.25">
      <c r="A16" s="107" t="s">
        <v>148</v>
      </c>
      <c r="B16" s="111" t="s">
        <v>2</v>
      </c>
      <c r="C16" s="108">
        <v>2021</v>
      </c>
      <c r="D16" s="121">
        <v>257.84280000000001</v>
      </c>
      <c r="E16" s="121">
        <v>260.84280000000001</v>
      </c>
      <c r="F16" s="121">
        <v>14.84417822</v>
      </c>
      <c r="G16" s="121">
        <v>24.215185870000006</v>
      </c>
      <c r="H16" s="121">
        <v>23.165304819999992</v>
      </c>
      <c r="I16" s="121">
        <v>22.999112350000008</v>
      </c>
      <c r="J16" s="121">
        <v>16.930330929999993</v>
      </c>
      <c r="K16" s="121">
        <v>20.279929549999999</v>
      </c>
      <c r="L16" s="121">
        <v>23.26303789999999</v>
      </c>
      <c r="M16" s="121">
        <v>21.249003680000008</v>
      </c>
      <c r="N16" s="121">
        <v>26.230818030000002</v>
      </c>
      <c r="O16" s="121">
        <v>31.48820099000001</v>
      </c>
      <c r="P16" s="121">
        <v>24.952201569999993</v>
      </c>
      <c r="Q16" s="121">
        <v>43.75211669000003</v>
      </c>
      <c r="R16" s="121">
        <f>SUM(Таблица3[[#This Row],[январь]:[декабрь]])</f>
        <v>293.36942060000007</v>
      </c>
    </row>
    <row r="17" spans="1:18" x14ac:dyDescent="0.25">
      <c r="A17" s="107" t="s">
        <v>149</v>
      </c>
      <c r="B17" s="111" t="s">
        <v>140</v>
      </c>
      <c r="C17" s="108">
        <v>2021</v>
      </c>
      <c r="D17" s="121">
        <v>33.380000000000003</v>
      </c>
      <c r="E17" s="121">
        <v>36.479999999999997</v>
      </c>
      <c r="F17" s="121">
        <v>1.2021276299999999</v>
      </c>
      <c r="G17" s="121">
        <v>1.7402350900000003</v>
      </c>
      <c r="H17" s="121">
        <v>3.7089639099999996</v>
      </c>
      <c r="I17" s="121">
        <v>7.1106315499999999</v>
      </c>
      <c r="J17" s="121">
        <v>2.4653442300000004</v>
      </c>
      <c r="K17" s="121">
        <v>2.8347836200000009</v>
      </c>
      <c r="L17" s="121">
        <v>5.4690018399999998</v>
      </c>
      <c r="M17" s="121">
        <v>0.71352030999999871</v>
      </c>
      <c r="N17" s="121">
        <v>1.3848972400000021</v>
      </c>
      <c r="O17" s="121">
        <v>5.7124450099999979</v>
      </c>
      <c r="P17" s="121">
        <v>1.7600098999999985</v>
      </c>
      <c r="Q17" s="121">
        <v>2.1146144100000037</v>
      </c>
      <c r="R17" s="121">
        <f>SUM(Таблица3[[#This Row],[январь]:[декабрь]])</f>
        <v>36.216574739999999</v>
      </c>
    </row>
    <row r="18" spans="1:18" x14ac:dyDescent="0.25">
      <c r="A18" s="107" t="s">
        <v>149</v>
      </c>
      <c r="B18" s="111" t="s">
        <v>141</v>
      </c>
      <c r="C18" s="108">
        <v>2021</v>
      </c>
      <c r="D18" s="121">
        <v>4.26</v>
      </c>
      <c r="E18" s="121">
        <v>2.2599999999999998</v>
      </c>
      <c r="F18" s="121">
        <v>2.6209640699999999</v>
      </c>
      <c r="G18" s="121">
        <v>9.6074470000000203E-2</v>
      </c>
      <c r="H18" s="121">
        <v>8.0361439999999951E-2</v>
      </c>
      <c r="I18" s="121">
        <v>-1.0901060000000056E-2</v>
      </c>
      <c r="J18" s="121">
        <v>-0.27152358999999987</v>
      </c>
      <c r="K18" s="121">
        <v>-4.5060180000000165E-2</v>
      </c>
      <c r="L18" s="121">
        <v>3.9977330000000075E-2</v>
      </c>
      <c r="M18" s="121">
        <v>7.0490400000000376E-3</v>
      </c>
      <c r="N18" s="121">
        <v>3.2029209999999961E-2</v>
      </c>
      <c r="O18" s="121">
        <v>6.2657149999999912E-2</v>
      </c>
      <c r="P18" s="121">
        <v>-1.6557729999999982E-2</v>
      </c>
      <c r="Q18" s="121">
        <v>-2.5023500000000932E-3</v>
      </c>
      <c r="R18" s="121">
        <f>SUM(Таблица3[[#This Row],[январь]:[декабрь]])</f>
        <v>2.5925677999999999</v>
      </c>
    </row>
    <row r="19" spans="1:18" x14ac:dyDescent="0.25">
      <c r="A19" s="107" t="s">
        <v>149</v>
      </c>
      <c r="B19" s="111" t="s">
        <v>142</v>
      </c>
      <c r="C19" s="108">
        <v>2021</v>
      </c>
      <c r="D19" s="121">
        <v>1.4999999999999999E-2</v>
      </c>
      <c r="E19" s="121">
        <v>1.4999999999999999E-2</v>
      </c>
      <c r="F19" s="121">
        <v>0</v>
      </c>
      <c r="G19" s="121">
        <v>1.815E-3</v>
      </c>
      <c r="H19" s="121">
        <v>3.5031E-2</v>
      </c>
      <c r="I19" s="121">
        <v>2.8800000000000001E-4</v>
      </c>
      <c r="J19" s="121">
        <v>7.6499999999999997E-3</v>
      </c>
      <c r="K19" s="121">
        <v>0</v>
      </c>
      <c r="L19" s="121">
        <v>-1.0889999999999418E-5</v>
      </c>
      <c r="M19" s="121">
        <v>-1.0112999999999739E-4</v>
      </c>
      <c r="N19" s="121">
        <v>0</v>
      </c>
      <c r="O19" s="121">
        <v>0</v>
      </c>
      <c r="P19" s="121">
        <v>-1.7888600000000006E-3</v>
      </c>
      <c r="Q19" s="121">
        <v>-9.4579000000000082E-4</v>
      </c>
      <c r="R19" s="121">
        <f>SUM(Таблица3[[#This Row],[январь]:[декабрь]])</f>
        <v>4.1937329999999988E-2</v>
      </c>
    </row>
    <row r="20" spans="1:18" x14ac:dyDescent="0.25">
      <c r="A20" s="107" t="s">
        <v>149</v>
      </c>
      <c r="B20" s="111" t="s">
        <v>143</v>
      </c>
      <c r="C20" s="108">
        <v>2021</v>
      </c>
      <c r="D20" s="121">
        <v>1.8</v>
      </c>
      <c r="E20" s="121">
        <v>8.8000000000000007</v>
      </c>
      <c r="F20" s="121">
        <v>0.19681451</v>
      </c>
      <c r="G20" s="121">
        <v>0.33117395999999999</v>
      </c>
      <c r="H20" s="121">
        <v>1.8642582100000002</v>
      </c>
      <c r="I20" s="121">
        <v>0.83999263999999962</v>
      </c>
      <c r="J20" s="121">
        <v>0.32882677000000005</v>
      </c>
      <c r="K20" s="121">
        <v>0.73160302000000044</v>
      </c>
      <c r="L20" s="121">
        <v>0.43628485999999939</v>
      </c>
      <c r="M20" s="121">
        <v>0.2198440100000007</v>
      </c>
      <c r="N20" s="121">
        <v>0.41532719999999923</v>
      </c>
      <c r="O20" s="121">
        <v>0.38828652000000047</v>
      </c>
      <c r="P20" s="121">
        <v>0.50229320999999993</v>
      </c>
      <c r="Q20" s="121">
        <v>2.3868428499999998</v>
      </c>
      <c r="R20" s="121">
        <f>SUM(Таблица3[[#This Row],[январь]:[декабрь]])</f>
        <v>8.6415477600000017</v>
      </c>
    </row>
    <row r="21" spans="1:18" x14ac:dyDescent="0.25">
      <c r="A21" s="107" t="s">
        <v>150</v>
      </c>
      <c r="B21" s="111" t="s">
        <v>144</v>
      </c>
      <c r="C21" s="108">
        <v>2021</v>
      </c>
      <c r="D21" s="121">
        <v>18.914999999999999</v>
      </c>
      <c r="E21" s="121">
        <v>17.914999999999999</v>
      </c>
      <c r="F21" s="121">
        <v>0.62132487999999997</v>
      </c>
      <c r="G21" s="121">
        <v>0.24708563999999997</v>
      </c>
      <c r="H21" s="121">
        <v>0.54782553</v>
      </c>
      <c r="I21" s="121">
        <v>0.82265625000000009</v>
      </c>
      <c r="J21" s="121">
        <v>0.26015173999999996</v>
      </c>
      <c r="K21" s="121">
        <v>0.1728231399999999</v>
      </c>
      <c r="L21" s="121">
        <v>0.69289076000000005</v>
      </c>
      <c r="M21" s="121">
        <v>0.36374191000000017</v>
      </c>
      <c r="N21" s="121">
        <v>0.49874822999999996</v>
      </c>
      <c r="O21" s="121">
        <v>5.6480664200000001</v>
      </c>
      <c r="P21" s="121">
        <v>8.7584022699999995</v>
      </c>
      <c r="Q21" s="121">
        <v>6.8910218100000007</v>
      </c>
      <c r="R21" s="121">
        <f>SUM(Таблица3[[#This Row],[январь]:[декабрь]])</f>
        <v>25.524738580000001</v>
      </c>
    </row>
    <row r="22" spans="1:18" x14ac:dyDescent="0.25">
      <c r="A22" s="107" t="s">
        <v>150</v>
      </c>
      <c r="B22" s="111" t="s">
        <v>22</v>
      </c>
      <c r="C22" s="108">
        <v>2021</v>
      </c>
      <c r="D22" s="121">
        <v>32.28</v>
      </c>
      <c r="E22" s="121">
        <v>22.18</v>
      </c>
      <c r="F22" s="121">
        <v>1.0558455</v>
      </c>
      <c r="G22" s="121">
        <v>1.8281887400000003</v>
      </c>
      <c r="H22" s="121">
        <v>1.15996813</v>
      </c>
      <c r="I22" s="121">
        <v>4.1161061299999995</v>
      </c>
      <c r="J22" s="121">
        <v>0.20453111000000035</v>
      </c>
      <c r="K22" s="121">
        <v>0.43380270999999998</v>
      </c>
      <c r="L22" s="121">
        <v>4.7958401999999989</v>
      </c>
      <c r="M22" s="121">
        <v>0.38006332000000032</v>
      </c>
      <c r="N22" s="121">
        <v>0.28544698000000046</v>
      </c>
      <c r="O22" s="121">
        <v>6.1430391900000014</v>
      </c>
      <c r="P22" s="121">
        <v>1.5858941600000001</v>
      </c>
      <c r="Q22" s="121">
        <v>1.9874810000000001</v>
      </c>
      <c r="R22" s="121">
        <f>SUM(Таблица3[[#This Row],[январь]:[декабрь]])</f>
        <v>23.976207169999995</v>
      </c>
    </row>
    <row r="23" spans="1:18" x14ac:dyDescent="0.25">
      <c r="A23" s="107" t="s">
        <v>3</v>
      </c>
      <c r="B23" s="108" t="s">
        <v>135</v>
      </c>
      <c r="C23" s="108">
        <v>2021</v>
      </c>
      <c r="D23" s="121">
        <v>43.4</v>
      </c>
      <c r="E23" s="121">
        <v>42.5</v>
      </c>
      <c r="F23" s="121">
        <v>4.0506339200000001</v>
      </c>
      <c r="G23" s="121">
        <v>1.9571513899999997</v>
      </c>
      <c r="H23" s="121">
        <v>3.0381713099999996</v>
      </c>
      <c r="I23" s="121">
        <v>4.7876039100000005</v>
      </c>
      <c r="J23" s="121">
        <v>2.6355817500000001</v>
      </c>
      <c r="K23" s="121">
        <v>2.6637942999999988</v>
      </c>
      <c r="L23" s="121">
        <v>5.9398164600000012</v>
      </c>
      <c r="M23" s="121">
        <v>0.92109540000000223</v>
      </c>
      <c r="N23" s="121">
        <v>2.8011038899999967</v>
      </c>
      <c r="O23" s="121">
        <v>2.6303743700000011</v>
      </c>
      <c r="P23" s="121">
        <v>4.1546598799999988</v>
      </c>
      <c r="Q23" s="121">
        <v>6.805157690000005</v>
      </c>
      <c r="R23" s="121">
        <f>SUM(Таблица3[[#This Row],[январь]:[декабрь]])</f>
        <v>42.385144270000012</v>
      </c>
    </row>
    <row r="24" spans="1:18" x14ac:dyDescent="0.25">
      <c r="A24" s="107" t="s">
        <v>3</v>
      </c>
      <c r="B24" s="108" t="s">
        <v>136</v>
      </c>
      <c r="C24" s="108">
        <v>2021</v>
      </c>
      <c r="D24" s="121">
        <v>27</v>
      </c>
      <c r="E24" s="121">
        <v>23.71</v>
      </c>
      <c r="F24" s="121">
        <v>0.89958395999999996</v>
      </c>
      <c r="G24" s="121">
        <v>1.6450056800000001</v>
      </c>
      <c r="H24" s="121">
        <v>1.4995406299999998</v>
      </c>
      <c r="I24" s="121">
        <v>2.2913419400000001</v>
      </c>
      <c r="J24" s="121">
        <v>1.1598023399999999</v>
      </c>
      <c r="K24" s="121">
        <v>1.6563128400000007</v>
      </c>
      <c r="L24" s="121">
        <v>1.225311</v>
      </c>
      <c r="M24" s="121">
        <v>1.1356689900000003</v>
      </c>
      <c r="N24" s="121">
        <v>6.0222814900000001</v>
      </c>
      <c r="O24" s="121">
        <v>1.6865430899999998</v>
      </c>
      <c r="P24" s="121">
        <v>2.3156266699999981</v>
      </c>
      <c r="Q24" s="121">
        <v>2.1564861799999999</v>
      </c>
      <c r="R24" s="121">
        <f>SUM(Таблица3[[#This Row],[январь]:[декабрь]])</f>
        <v>23.69350481</v>
      </c>
    </row>
    <row r="25" spans="1:18" ht="15.75" thickBot="1" x14ac:dyDescent="0.3">
      <c r="A25" s="123" t="s">
        <v>34</v>
      </c>
      <c r="B25" s="127" t="s">
        <v>137</v>
      </c>
      <c r="C25" s="128">
        <v>2021</v>
      </c>
      <c r="D25" s="129">
        <v>934.04949332000001</v>
      </c>
      <c r="E25" s="129">
        <v>1238.3708357099999</v>
      </c>
      <c r="F25" s="129">
        <v>46.557068549999997</v>
      </c>
      <c r="G25" s="129">
        <v>71.818980760000002</v>
      </c>
      <c r="H25" s="129">
        <v>70.754582169999992</v>
      </c>
      <c r="I25" s="129">
        <v>203.56996749000004</v>
      </c>
      <c r="J25" s="129">
        <v>15.432554899999976</v>
      </c>
      <c r="K25" s="129">
        <v>30.26381454000002</v>
      </c>
      <c r="L25" s="129">
        <v>82.765672009999989</v>
      </c>
      <c r="M25" s="129">
        <v>187.92731425999992</v>
      </c>
      <c r="N25" s="129">
        <v>76.269519950000046</v>
      </c>
      <c r="O25" s="129">
        <v>164.30314307000006</v>
      </c>
      <c r="P25" s="129">
        <v>77.964309199999931</v>
      </c>
      <c r="Q25" s="129">
        <v>154.91515437999999</v>
      </c>
      <c r="R25" s="121">
        <f>SUM(Таблица3[[#This Row],[январь]:[декабрь]])</f>
        <v>1182.5420812799998</v>
      </c>
    </row>
    <row r="26" spans="1:18" x14ac:dyDescent="0.25">
      <c r="A26" s="105" t="s">
        <v>147</v>
      </c>
      <c r="B26" s="114" t="s">
        <v>145</v>
      </c>
      <c r="C26" s="133">
        <v>2022</v>
      </c>
      <c r="D26" s="134">
        <v>1595.7437723800001</v>
      </c>
      <c r="E26" s="134">
        <v>1883.4855641099998</v>
      </c>
      <c r="F26" s="134">
        <v>69.466558910000003</v>
      </c>
      <c r="G26" s="134">
        <v>122.19666599</v>
      </c>
      <c r="H26" s="134">
        <v>116.03434684999999</v>
      </c>
      <c r="I26" s="134">
        <v>216.56281995000003</v>
      </c>
      <c r="J26" s="134">
        <v>169.01193190000001</v>
      </c>
      <c r="K26" s="134">
        <v>103.75188057</v>
      </c>
      <c r="L26" s="134">
        <v>146.85273574999994</v>
      </c>
      <c r="M26" s="134">
        <v>130.7984385900001</v>
      </c>
      <c r="N26" s="134">
        <v>220.10035285999996</v>
      </c>
      <c r="O26" s="134">
        <v>146.10853519999998</v>
      </c>
      <c r="P26" s="134">
        <v>184.56724841000008</v>
      </c>
      <c r="Q26" s="134">
        <v>279.11280029999989</v>
      </c>
      <c r="R26" s="121">
        <f>SUM(Таблица3[[#This Row],[январь]:[декабрь]])</f>
        <v>1904.5643152800001</v>
      </c>
    </row>
    <row r="27" spans="1:18" x14ac:dyDescent="0.25">
      <c r="A27" s="147" t="s">
        <v>151</v>
      </c>
      <c r="B27" s="148" t="s">
        <v>152</v>
      </c>
      <c r="C27" s="153">
        <v>2022</v>
      </c>
      <c r="D27" s="154">
        <f>D26-D37</f>
        <v>461.90000000000009</v>
      </c>
      <c r="E27" s="154">
        <f t="shared" ref="E27:Q27" si="2">E26-E37</f>
        <v>503.57406432999983</v>
      </c>
      <c r="F27" s="154">
        <f t="shared" si="2"/>
        <v>23.118744340000006</v>
      </c>
      <c r="G27" s="154">
        <f t="shared" si="2"/>
        <v>44.191887989999998</v>
      </c>
      <c r="H27" s="154">
        <f t="shared" si="2"/>
        <v>43.365675719999999</v>
      </c>
      <c r="I27" s="154">
        <f t="shared" si="2"/>
        <v>46.057264349999997</v>
      </c>
      <c r="J27" s="154">
        <f t="shared" si="2"/>
        <v>33.74228248</v>
      </c>
      <c r="K27" s="154">
        <f t="shared" si="2"/>
        <v>35.706618680000005</v>
      </c>
      <c r="L27" s="154">
        <f t="shared" si="2"/>
        <v>55.348209679999997</v>
      </c>
      <c r="M27" s="154">
        <f t="shared" si="2"/>
        <v>38.847747180000013</v>
      </c>
      <c r="N27" s="154">
        <f t="shared" si="2"/>
        <v>38.909645709999978</v>
      </c>
      <c r="O27" s="154">
        <f t="shared" si="2"/>
        <v>62.100760919999999</v>
      </c>
      <c r="P27" s="154">
        <f t="shared" si="2"/>
        <v>48.133492259999969</v>
      </c>
      <c r="Q27" s="154">
        <f t="shared" si="2"/>
        <v>71.734051660000034</v>
      </c>
      <c r="R27" s="121">
        <f>SUM(Таблица3[[#This Row],[январь]:[декабрь]])</f>
        <v>541.25638097000001</v>
      </c>
    </row>
    <row r="28" spans="1:18" x14ac:dyDescent="0.25">
      <c r="A28" s="107" t="s">
        <v>148</v>
      </c>
      <c r="B28" s="115" t="s">
        <v>2</v>
      </c>
      <c r="C28" s="116">
        <v>2022</v>
      </c>
      <c r="D28" s="122">
        <v>295.10000000000002</v>
      </c>
      <c r="E28" s="122">
        <v>295.10000000000002</v>
      </c>
      <c r="F28" s="122">
        <v>11.158320160000001</v>
      </c>
      <c r="G28" s="122">
        <v>24.889711389999995</v>
      </c>
      <c r="H28" s="122">
        <v>25.051955730000003</v>
      </c>
      <c r="I28" s="122">
        <v>19.673042670000001</v>
      </c>
      <c r="J28" s="122">
        <v>20.480385569999992</v>
      </c>
      <c r="K28" s="122">
        <v>24.188138439999996</v>
      </c>
      <c r="L28" s="122">
        <v>30.112403130000011</v>
      </c>
      <c r="M28" s="122">
        <v>27.564713620000006</v>
      </c>
      <c r="N28" s="122">
        <v>27.189244929999976</v>
      </c>
      <c r="O28" s="122">
        <v>30.53226071000001</v>
      </c>
      <c r="P28" s="122">
        <v>26.983225539999992</v>
      </c>
      <c r="Q28" s="122">
        <v>47.484294230000017</v>
      </c>
      <c r="R28" s="121">
        <f>SUM(Таблица3[[#This Row],[январь]:[декабрь]])</f>
        <v>315.30769611999995</v>
      </c>
    </row>
    <row r="29" spans="1:18" x14ac:dyDescent="0.25">
      <c r="A29" s="107" t="s">
        <v>149</v>
      </c>
      <c r="B29" s="115" t="s">
        <v>140</v>
      </c>
      <c r="C29" s="116">
        <v>2022</v>
      </c>
      <c r="D29" s="122">
        <v>34.1</v>
      </c>
      <c r="E29" s="122">
        <v>49.4</v>
      </c>
      <c r="F29" s="122">
        <v>3.2357777099999998</v>
      </c>
      <c r="G29" s="122">
        <v>1.9869015499999998</v>
      </c>
      <c r="H29" s="122">
        <v>5.8000538000000006</v>
      </c>
      <c r="I29" s="122">
        <v>9.1783837000000013</v>
      </c>
      <c r="J29" s="122">
        <v>5.292519969999999</v>
      </c>
      <c r="K29" s="122">
        <v>3.0520892399999981</v>
      </c>
      <c r="L29" s="122">
        <v>7.2016621700000014</v>
      </c>
      <c r="M29" s="122">
        <v>2.375920509999998</v>
      </c>
      <c r="N29" s="122">
        <v>0.86134457000000031</v>
      </c>
      <c r="O29" s="122">
        <v>10.216066210000001</v>
      </c>
      <c r="P29" s="122">
        <v>2.5580688900000008</v>
      </c>
      <c r="Q29" s="122">
        <v>3.0385551799999999</v>
      </c>
      <c r="R29" s="121">
        <f>SUM(Таблица3[[#This Row],[январь]:[декабрь]])</f>
        <v>54.797343500000004</v>
      </c>
    </row>
    <row r="30" spans="1:18" x14ac:dyDescent="0.25">
      <c r="A30" s="107" t="s">
        <v>149</v>
      </c>
      <c r="B30" s="115" t="s">
        <v>141</v>
      </c>
      <c r="C30" s="116">
        <v>2022</v>
      </c>
      <c r="D30" s="122">
        <v>0</v>
      </c>
      <c r="E30" s="122">
        <v>0</v>
      </c>
      <c r="F30" s="122">
        <v>1.1087999999999998E-3</v>
      </c>
      <c r="G30" s="122">
        <v>-9.038099999999999E-4</v>
      </c>
      <c r="H30" s="122">
        <v>3.3168530000000002E-2</v>
      </c>
      <c r="I30" s="122">
        <v>-0.13199710000000001</v>
      </c>
      <c r="J30" s="122">
        <v>-4.0370299999999987E-3</v>
      </c>
      <c r="K30" s="122">
        <v>2.4406009999999995E-2</v>
      </c>
      <c r="L30" s="122">
        <v>-9.4252200000000015E-3</v>
      </c>
      <c r="M30" s="122">
        <v>-0.18963668</v>
      </c>
      <c r="N30" s="122">
        <v>2.6932149999999995E-2</v>
      </c>
      <c r="O30" s="122">
        <v>5.5763059999999996E-2</v>
      </c>
      <c r="P30" s="122">
        <v>-2.6472699999999893E-3</v>
      </c>
      <c r="Q30" s="122">
        <v>-2.0757080000000018E-2</v>
      </c>
      <c r="R30" s="121">
        <f>SUM(Таблица3[[#This Row],[январь]:[декабрь]])</f>
        <v>-0.21802564000000002</v>
      </c>
    </row>
    <row r="31" spans="1:18" x14ac:dyDescent="0.25">
      <c r="A31" s="107" t="s">
        <v>149</v>
      </c>
      <c r="B31" s="115" t="s">
        <v>142</v>
      </c>
      <c r="C31" s="116">
        <v>2022</v>
      </c>
      <c r="D31" s="122">
        <v>4.4999999999999998E-2</v>
      </c>
      <c r="E31" s="122">
        <v>7.1999999999999995E-2</v>
      </c>
      <c r="F31" s="122">
        <v>0</v>
      </c>
      <c r="G31" s="122">
        <v>0</v>
      </c>
      <c r="H31" s="122">
        <v>6.6056000000000004E-2</v>
      </c>
      <c r="I31" s="122">
        <v>9.7179999999999992E-3</v>
      </c>
      <c r="J31" s="122">
        <v>0</v>
      </c>
      <c r="K31" s="122">
        <v>0</v>
      </c>
      <c r="L31" s="122">
        <v>1.7697700000000041E-3</v>
      </c>
      <c r="M31" s="122">
        <v>0</v>
      </c>
      <c r="N31" s="122">
        <v>2.1656999999999243E-4</v>
      </c>
      <c r="O31" s="122">
        <v>0</v>
      </c>
      <c r="P31" s="122">
        <v>0</v>
      </c>
      <c r="Q31" s="122">
        <v>5.8647000000000115E-4</v>
      </c>
      <c r="R31" s="121">
        <f>SUM(Таблица3[[#This Row],[январь]:[декабрь]])</f>
        <v>7.8346810000000017E-2</v>
      </c>
    </row>
    <row r="32" spans="1:18" x14ac:dyDescent="0.25">
      <c r="A32" s="107" t="s">
        <v>149</v>
      </c>
      <c r="B32" s="115" t="s">
        <v>143</v>
      </c>
      <c r="C32" s="116">
        <v>2022</v>
      </c>
      <c r="D32" s="122">
        <v>5.97</v>
      </c>
      <c r="E32" s="122">
        <v>9</v>
      </c>
      <c r="F32" s="122">
        <v>0.54634201000000004</v>
      </c>
      <c r="G32" s="122">
        <v>0.52271698</v>
      </c>
      <c r="H32" s="122">
        <v>1.9744000599999998</v>
      </c>
      <c r="I32" s="122">
        <v>1.3719498300000001</v>
      </c>
      <c r="J32" s="122">
        <v>0.73261237000000012</v>
      </c>
      <c r="K32" s="122">
        <v>0.65430441999999989</v>
      </c>
      <c r="L32" s="122">
        <v>0.43748903000000028</v>
      </c>
      <c r="M32" s="122">
        <v>0.15832012999999989</v>
      </c>
      <c r="N32" s="122">
        <v>0.38570904999999983</v>
      </c>
      <c r="O32" s="122">
        <v>0.66812416999999991</v>
      </c>
      <c r="P32" s="122">
        <v>0.43680831000000053</v>
      </c>
      <c r="Q32" s="122">
        <v>3.48634054</v>
      </c>
      <c r="R32" s="121">
        <f>SUM(Таблица3[[#This Row],[январь]:[декабрь]])</f>
        <v>11.3751169</v>
      </c>
    </row>
    <row r="33" spans="1:18" x14ac:dyDescent="0.25">
      <c r="A33" s="107" t="s">
        <v>150</v>
      </c>
      <c r="B33" s="115" t="s">
        <v>144</v>
      </c>
      <c r="C33" s="116">
        <v>2022</v>
      </c>
      <c r="D33" s="122">
        <v>18.45</v>
      </c>
      <c r="E33" s="122">
        <v>23.9</v>
      </c>
      <c r="F33" s="122">
        <v>0.39939773000000001</v>
      </c>
      <c r="G33" s="122">
        <v>0.33147027000000001</v>
      </c>
      <c r="H33" s="122">
        <v>0.47382929999999995</v>
      </c>
      <c r="I33" s="122">
        <v>0.69692404999999991</v>
      </c>
      <c r="J33" s="122">
        <v>0.41416810000000009</v>
      </c>
      <c r="K33" s="122">
        <v>0.11248296999999997</v>
      </c>
      <c r="L33" s="122">
        <v>0.65925582000000005</v>
      </c>
      <c r="M33" s="122">
        <v>0.25613570999999996</v>
      </c>
      <c r="N33" s="122">
        <v>2.1528685700000003</v>
      </c>
      <c r="O33" s="122">
        <v>4.0686078999999999</v>
      </c>
      <c r="P33" s="122">
        <v>10.392069529999999</v>
      </c>
      <c r="Q33" s="122">
        <v>5.4145475700000043</v>
      </c>
      <c r="R33" s="121">
        <f>SUM(Таблица3[[#This Row],[январь]:[декабрь]])</f>
        <v>25.371757520000003</v>
      </c>
    </row>
    <row r="34" spans="1:18" x14ac:dyDescent="0.25">
      <c r="A34" s="107" t="s">
        <v>150</v>
      </c>
      <c r="B34" s="115" t="s">
        <v>22</v>
      </c>
      <c r="C34" s="116">
        <v>2022</v>
      </c>
      <c r="D34" s="122">
        <v>18.940000000000001</v>
      </c>
      <c r="E34" s="122">
        <v>29.8</v>
      </c>
      <c r="F34" s="122">
        <v>1.1922921799999999</v>
      </c>
      <c r="G34" s="122">
        <v>2.7221659900000001</v>
      </c>
      <c r="H34" s="122">
        <v>0.34466862000000009</v>
      </c>
      <c r="I34" s="122">
        <v>7.1789427899999998</v>
      </c>
      <c r="J34" s="122">
        <v>0.95953455000000076</v>
      </c>
      <c r="K34" s="122">
        <v>-8.255252000000142E-2</v>
      </c>
      <c r="L34" s="122">
        <v>7.7099111999999996</v>
      </c>
      <c r="M34" s="122">
        <v>0.38266444000000133</v>
      </c>
      <c r="N34" s="122">
        <v>1.1345497399999984</v>
      </c>
      <c r="O34" s="122">
        <v>8.1983479000000017</v>
      </c>
      <c r="P34" s="122">
        <v>1.3592727800000013</v>
      </c>
      <c r="Q34" s="122">
        <v>1.4141430999999978</v>
      </c>
      <c r="R34" s="121">
        <f>SUM(Таблица3[[#This Row],[январь]:[декабрь]])</f>
        <v>32.513940769999998</v>
      </c>
    </row>
    <row r="35" spans="1:18" x14ac:dyDescent="0.25">
      <c r="A35" s="107" t="s">
        <v>3</v>
      </c>
      <c r="B35" s="117" t="s">
        <v>135</v>
      </c>
      <c r="C35" s="116">
        <v>2022</v>
      </c>
      <c r="D35" s="122">
        <v>44.7</v>
      </c>
      <c r="E35" s="122">
        <v>46.299599999999998</v>
      </c>
      <c r="F35" s="122">
        <v>2.74592225</v>
      </c>
      <c r="G35" s="122">
        <v>2.64054945</v>
      </c>
      <c r="H35" s="122">
        <v>5.7517457800000003</v>
      </c>
      <c r="I35" s="122">
        <v>5.2810740399999991</v>
      </c>
      <c r="J35" s="122">
        <v>2.7579893700000011</v>
      </c>
      <c r="K35" s="122">
        <v>3.4306149100000001</v>
      </c>
      <c r="L35" s="122">
        <v>4.5341673000000009</v>
      </c>
      <c r="M35" s="122">
        <v>4.5719898799999994</v>
      </c>
      <c r="N35" s="122">
        <v>3.0021063700000012</v>
      </c>
      <c r="O35" s="122">
        <v>4.9720750000000002</v>
      </c>
      <c r="P35" s="122">
        <v>2.6244939499999957</v>
      </c>
      <c r="Q35" s="122">
        <v>5.8833005800000056</v>
      </c>
      <c r="R35" s="121">
        <f>SUM(Таблица3[[#This Row],[январь]:[декабрь]])</f>
        <v>48.19602888</v>
      </c>
    </row>
    <row r="36" spans="1:18" x14ac:dyDescent="0.25">
      <c r="A36" s="107" t="s">
        <v>3</v>
      </c>
      <c r="B36" s="117" t="s">
        <v>136</v>
      </c>
      <c r="C36" s="116">
        <v>2022</v>
      </c>
      <c r="D36" s="122">
        <v>25.4</v>
      </c>
      <c r="E36" s="122">
        <v>14.574999999999999</v>
      </c>
      <c r="F36" s="122">
        <v>1.1500598500000001</v>
      </c>
      <c r="G36" s="122">
        <v>1.0734659899999996</v>
      </c>
      <c r="H36" s="122">
        <v>1.3707497099999999</v>
      </c>
      <c r="I36" s="122">
        <v>1.1828404400000003</v>
      </c>
      <c r="J36" s="122">
        <v>1.06427837</v>
      </c>
      <c r="K36" s="122">
        <v>0.99797849999999999</v>
      </c>
      <c r="L36" s="122">
        <v>1.6427506299999999</v>
      </c>
      <c r="M36" s="122">
        <v>1.0668352899999991</v>
      </c>
      <c r="N36" s="122">
        <v>1.2284592599999997</v>
      </c>
      <c r="O36" s="122">
        <v>1.0372229700000006</v>
      </c>
      <c r="P36" s="122">
        <v>1.6857971099999993</v>
      </c>
      <c r="Q36" s="122">
        <v>2.8331978200000001</v>
      </c>
      <c r="R36" s="121">
        <f>SUM(Таблица3[[#This Row],[январь]:[декабрь]])</f>
        <v>16.333635939999997</v>
      </c>
    </row>
    <row r="37" spans="1:18" ht="15.75" thickBot="1" x14ac:dyDescent="0.3">
      <c r="A37" s="123" t="s">
        <v>34</v>
      </c>
      <c r="B37" s="130" t="s">
        <v>137</v>
      </c>
      <c r="C37" s="131">
        <v>2022</v>
      </c>
      <c r="D37" s="132">
        <v>1133.84377238</v>
      </c>
      <c r="E37" s="132">
        <v>1379.91149978</v>
      </c>
      <c r="F37" s="132">
        <v>46.347814569999997</v>
      </c>
      <c r="G37" s="132">
        <v>78.004778000000002</v>
      </c>
      <c r="H37" s="132">
        <v>72.668671129999993</v>
      </c>
      <c r="I37" s="132">
        <v>170.50555560000004</v>
      </c>
      <c r="J37" s="132">
        <v>135.26964942000001</v>
      </c>
      <c r="K37" s="132">
        <v>68.045261889999992</v>
      </c>
      <c r="L37" s="132">
        <v>91.50452606999994</v>
      </c>
      <c r="M37" s="132">
        <v>91.95069141000009</v>
      </c>
      <c r="N37" s="132">
        <v>181.19070714999998</v>
      </c>
      <c r="O37" s="132">
        <v>84.007774279999978</v>
      </c>
      <c r="P37" s="132">
        <v>136.43375615000011</v>
      </c>
      <c r="Q37" s="132">
        <v>207.37874863999986</v>
      </c>
      <c r="R37" s="121">
        <f>SUM(Таблица3[[#This Row],[январь]:[декабрь]])</f>
        <v>1363.3079343100001</v>
      </c>
    </row>
    <row r="38" spans="1:18" x14ac:dyDescent="0.25">
      <c r="A38" s="105" t="s">
        <v>147</v>
      </c>
      <c r="B38" s="113" t="s">
        <v>145</v>
      </c>
      <c r="C38" s="109">
        <v>2023</v>
      </c>
      <c r="D38" s="120">
        <v>2072.01587402</v>
      </c>
      <c r="E38" s="120">
        <v>2072.01587402</v>
      </c>
      <c r="F38" s="120">
        <v>-31.568055099999999</v>
      </c>
      <c r="G38" s="120">
        <v>83.081958909999997</v>
      </c>
      <c r="H38" s="120">
        <v>208.33519728000002</v>
      </c>
      <c r="I38" s="120">
        <v>300.91020773000002</v>
      </c>
      <c r="J38" s="120">
        <v>249.2081038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0">
        <v>0</v>
      </c>
      <c r="R38" s="121">
        <f>SUM(Таблица3[[#This Row],[январь]:[декабрь]])</f>
        <v>809.96741262000012</v>
      </c>
    </row>
    <row r="39" spans="1:18" x14ac:dyDescent="0.25">
      <c r="A39" s="147" t="s">
        <v>151</v>
      </c>
      <c r="B39" s="148" t="s">
        <v>152</v>
      </c>
      <c r="C39" s="151">
        <v>2023</v>
      </c>
      <c r="D39" s="152">
        <v>528.55530744999999</v>
      </c>
      <c r="E39" s="152">
        <v>528.55530744999999</v>
      </c>
      <c r="F39" s="152">
        <v>16.36901894</v>
      </c>
      <c r="G39" s="152">
        <v>0.7809049700000017</v>
      </c>
      <c r="H39" s="152">
        <v>69.583444100000008</v>
      </c>
      <c r="I39" s="152">
        <v>192.75809292000002</v>
      </c>
      <c r="J39" s="152">
        <v>33.671428110000015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21">
        <f>SUM(Таблица3[[#This Row],[январь]:[декабрь]])</f>
        <v>313.16288904000004</v>
      </c>
    </row>
    <row r="40" spans="1:18" x14ac:dyDescent="0.25">
      <c r="A40" s="107" t="s">
        <v>148</v>
      </c>
      <c r="B40" s="111" t="s">
        <v>2</v>
      </c>
      <c r="C40" s="108">
        <v>2023</v>
      </c>
      <c r="D40" s="121">
        <v>319.6028</v>
      </c>
      <c r="E40" s="121">
        <v>319.6028</v>
      </c>
      <c r="F40" s="121">
        <v>7.6541764000000008</v>
      </c>
      <c r="G40" s="121">
        <v>-7.1474850000001311E-2</v>
      </c>
      <c r="H40" s="121">
        <v>35.292583140000005</v>
      </c>
      <c r="I40" s="121">
        <v>158.07564894999999</v>
      </c>
      <c r="J40" s="121">
        <v>28.219215500000001</v>
      </c>
      <c r="K40" s="121">
        <v>0</v>
      </c>
      <c r="L40" s="121">
        <v>0</v>
      </c>
      <c r="M40" s="121">
        <v>0</v>
      </c>
      <c r="N40" s="121">
        <v>0</v>
      </c>
      <c r="O40" s="121">
        <v>0</v>
      </c>
      <c r="P40" s="121">
        <v>0</v>
      </c>
      <c r="Q40" s="121">
        <v>0</v>
      </c>
      <c r="R40" s="121">
        <f>SUM(Таблица3[[#This Row],[январь]:[декабрь]])</f>
        <v>229.17014913999998</v>
      </c>
    </row>
    <row r="41" spans="1:18" x14ac:dyDescent="0.25">
      <c r="A41" s="107" t="s">
        <v>149</v>
      </c>
      <c r="B41" s="111" t="s">
        <v>140</v>
      </c>
      <c r="C41" s="108">
        <v>2023</v>
      </c>
      <c r="D41" s="121">
        <v>60</v>
      </c>
      <c r="E41" s="121">
        <v>60</v>
      </c>
      <c r="F41" s="121">
        <v>3.8279731699999999</v>
      </c>
      <c r="G41" s="121">
        <v>-2.4191002299999997</v>
      </c>
      <c r="H41" s="121">
        <v>12.334213460000001</v>
      </c>
      <c r="I41" s="121">
        <v>18.242600779999997</v>
      </c>
      <c r="J41" s="121">
        <v>1.9540962599999978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21">
        <v>0</v>
      </c>
      <c r="Q41" s="121">
        <v>0</v>
      </c>
      <c r="R41" s="121">
        <f>SUM(Таблица3[[#This Row],[январь]:[декабрь]])</f>
        <v>33.939783439999999</v>
      </c>
    </row>
    <row r="42" spans="1:18" x14ac:dyDescent="0.25">
      <c r="A42" s="107" t="s">
        <v>149</v>
      </c>
      <c r="B42" s="111" t="s">
        <v>141</v>
      </c>
      <c r="C42" s="108">
        <v>2023</v>
      </c>
      <c r="D42" s="121">
        <v>0</v>
      </c>
      <c r="E42" s="121">
        <v>0</v>
      </c>
      <c r="F42" s="121">
        <v>-0.25132083999999999</v>
      </c>
      <c r="G42" s="121">
        <v>-8.664800000000028E-3</v>
      </c>
      <c r="H42" s="121">
        <v>5.3534700000000018E-2</v>
      </c>
      <c r="I42" s="121">
        <v>1.4670679999999992E-2</v>
      </c>
      <c r="J42" s="121">
        <v>1.369297E-2</v>
      </c>
      <c r="K42" s="121">
        <v>0</v>
      </c>
      <c r="L42" s="121">
        <v>0</v>
      </c>
      <c r="M42" s="121">
        <v>0</v>
      </c>
      <c r="N42" s="121">
        <v>0</v>
      </c>
      <c r="O42" s="121">
        <v>0</v>
      </c>
      <c r="P42" s="121">
        <v>0</v>
      </c>
      <c r="Q42" s="121">
        <v>0</v>
      </c>
      <c r="R42" s="121">
        <f>SUM(Таблица3[[#This Row],[январь]:[декабрь]])</f>
        <v>-0.17808729000000001</v>
      </c>
    </row>
    <row r="43" spans="1:18" x14ac:dyDescent="0.25">
      <c r="A43" s="107" t="s">
        <v>149</v>
      </c>
      <c r="B43" s="111" t="s">
        <v>142</v>
      </c>
      <c r="C43" s="108">
        <v>2023</v>
      </c>
      <c r="D43" s="121">
        <v>0</v>
      </c>
      <c r="E43" s="121">
        <v>0</v>
      </c>
      <c r="F43" s="121">
        <v>0</v>
      </c>
      <c r="G43" s="121">
        <v>-5.4000000000000001E-4</v>
      </c>
      <c r="H43" s="121">
        <v>3.7689E-2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f>SUM(Таблица3[[#This Row],[январь]:[декабрь]])</f>
        <v>3.7149000000000001E-2</v>
      </c>
    </row>
    <row r="44" spans="1:18" x14ac:dyDescent="0.25">
      <c r="A44" s="107" t="s">
        <v>149</v>
      </c>
      <c r="B44" s="111" t="s">
        <v>143</v>
      </c>
      <c r="C44" s="108">
        <v>2023</v>
      </c>
      <c r="D44" s="121">
        <v>9.1</v>
      </c>
      <c r="E44" s="121">
        <v>9.1</v>
      </c>
      <c r="F44" s="121">
        <v>-0.65145651999999998</v>
      </c>
      <c r="G44" s="121">
        <v>-0.43984168999999995</v>
      </c>
      <c r="H44" s="121">
        <v>0.31955566999999985</v>
      </c>
      <c r="I44" s="121">
        <v>3.83401046</v>
      </c>
      <c r="J44" s="121">
        <v>0.33477733999999987</v>
      </c>
      <c r="K44" s="121">
        <v>0</v>
      </c>
      <c r="L44" s="121">
        <v>0</v>
      </c>
      <c r="M44" s="121">
        <v>0</v>
      </c>
      <c r="N44" s="121">
        <v>0</v>
      </c>
      <c r="O44" s="121">
        <v>0</v>
      </c>
      <c r="P44" s="121">
        <v>0</v>
      </c>
      <c r="Q44" s="121">
        <v>0</v>
      </c>
      <c r="R44" s="121">
        <f>SUM(Таблица3[[#This Row],[январь]:[декабрь]])</f>
        <v>3.3970452600000001</v>
      </c>
    </row>
    <row r="45" spans="1:18" x14ac:dyDescent="0.25">
      <c r="A45" s="107" t="s">
        <v>150</v>
      </c>
      <c r="B45" s="111" t="s">
        <v>144</v>
      </c>
      <c r="C45" s="108">
        <v>2023</v>
      </c>
      <c r="D45" s="121">
        <v>25</v>
      </c>
      <c r="E45" s="121">
        <v>25</v>
      </c>
      <c r="F45" s="121">
        <v>-0.42751341999999998</v>
      </c>
      <c r="G45" s="121">
        <v>-2.2886804500000002</v>
      </c>
      <c r="H45" s="121">
        <v>0.99284920999999993</v>
      </c>
      <c r="I45" s="121">
        <v>0.29029824999999976</v>
      </c>
      <c r="J45" s="121">
        <v>-0.10654842999999993</v>
      </c>
      <c r="K45" s="121">
        <v>0</v>
      </c>
      <c r="L45" s="121">
        <v>0</v>
      </c>
      <c r="M45" s="121">
        <v>0</v>
      </c>
      <c r="N45" s="121">
        <v>0</v>
      </c>
      <c r="O45" s="121">
        <v>0</v>
      </c>
      <c r="P45" s="121">
        <v>0</v>
      </c>
      <c r="Q45" s="121">
        <v>0</v>
      </c>
      <c r="R45" s="121">
        <f>SUM(Таблица3[[#This Row],[январь]:[декабрь]])</f>
        <v>-1.5395948400000004</v>
      </c>
    </row>
    <row r="46" spans="1:18" x14ac:dyDescent="0.25">
      <c r="A46" s="107" t="s">
        <v>150</v>
      </c>
      <c r="B46" s="111" t="s">
        <v>22</v>
      </c>
      <c r="C46" s="108">
        <v>2023</v>
      </c>
      <c r="D46" s="121">
        <v>28.8</v>
      </c>
      <c r="E46" s="121">
        <v>28.8</v>
      </c>
      <c r="F46" s="121">
        <v>-7.9522280000000001E-2</v>
      </c>
      <c r="G46" s="121">
        <v>2.6100530000000004E-2</v>
      </c>
      <c r="H46" s="121">
        <v>6.0310589600000002</v>
      </c>
      <c r="I46" s="121">
        <v>4.0057962500000004</v>
      </c>
      <c r="J46" s="121">
        <v>-6.4158698400000009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f>SUM(Таблица3[[#This Row],[январь]:[декабрь]])</f>
        <v>3.5675636199999996</v>
      </c>
    </row>
    <row r="47" spans="1:18" x14ac:dyDescent="0.25">
      <c r="A47" s="107" t="s">
        <v>3</v>
      </c>
      <c r="B47" s="108" t="s">
        <v>135</v>
      </c>
      <c r="C47" s="108">
        <v>2023</v>
      </c>
      <c r="D47" s="121">
        <v>45</v>
      </c>
      <c r="E47" s="121">
        <v>45</v>
      </c>
      <c r="F47" s="121">
        <v>4.7489869300000001</v>
      </c>
      <c r="G47" s="121">
        <v>3.2366148600000004</v>
      </c>
      <c r="H47" s="121">
        <v>4.9862819899999984</v>
      </c>
      <c r="I47" s="121">
        <v>4.9019872700000029</v>
      </c>
      <c r="J47" s="121">
        <v>3.6570602399999985</v>
      </c>
      <c r="K47" s="121">
        <v>0</v>
      </c>
      <c r="L47" s="121">
        <v>0</v>
      </c>
      <c r="M47" s="121">
        <v>0</v>
      </c>
      <c r="N47" s="121">
        <v>0</v>
      </c>
      <c r="O47" s="121">
        <v>0</v>
      </c>
      <c r="P47" s="121">
        <v>0</v>
      </c>
      <c r="Q47" s="121">
        <v>0</v>
      </c>
      <c r="R47" s="121">
        <f>SUM(Таблица3[[#This Row],[январь]:[декабрь]])</f>
        <v>21.530931290000002</v>
      </c>
    </row>
    <row r="48" spans="1:18" x14ac:dyDescent="0.25">
      <c r="A48" s="107" t="s">
        <v>3</v>
      </c>
      <c r="B48" s="108" t="s">
        <v>136</v>
      </c>
      <c r="C48" s="108">
        <v>2023</v>
      </c>
      <c r="D48" s="121">
        <v>20</v>
      </c>
      <c r="E48" s="121">
        <v>20</v>
      </c>
      <c r="F48" s="121">
        <v>0.75388895</v>
      </c>
      <c r="G48" s="121">
        <v>0.76862941000000007</v>
      </c>
      <c r="H48" s="121">
        <v>1.8006193099999999</v>
      </c>
      <c r="I48" s="121">
        <v>0.79715665000000024</v>
      </c>
      <c r="J48" s="121">
        <v>4.258306300000001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f>SUM(Таблица3[[#This Row],[январь]:[декабрь]])</f>
        <v>8.3786006200000003</v>
      </c>
    </row>
    <row r="49" spans="1:18" x14ac:dyDescent="0.25">
      <c r="A49" s="123" t="s">
        <v>34</v>
      </c>
      <c r="B49" s="127" t="s">
        <v>137</v>
      </c>
      <c r="C49" s="128">
        <v>2023</v>
      </c>
      <c r="D49" s="129">
        <v>1543.4605665699999</v>
      </c>
      <c r="E49" s="129">
        <v>1543.4605665699999</v>
      </c>
      <c r="F49" s="129">
        <v>-47.937074039999999</v>
      </c>
      <c r="G49" s="129">
        <v>82.301053940000003</v>
      </c>
      <c r="H49" s="129">
        <v>138.75175318000001</v>
      </c>
      <c r="I49" s="129">
        <v>108.15211480999997</v>
      </c>
      <c r="J49" s="129">
        <v>215.53667569000001</v>
      </c>
      <c r="K49" s="129">
        <v>0</v>
      </c>
      <c r="L49" s="129">
        <v>0</v>
      </c>
      <c r="M49" s="129">
        <v>0</v>
      </c>
      <c r="N49" s="129">
        <v>0</v>
      </c>
      <c r="O49" s="129">
        <v>0</v>
      </c>
      <c r="P49" s="129">
        <v>0</v>
      </c>
      <c r="Q49" s="129">
        <v>0</v>
      </c>
      <c r="R49" s="129">
        <f>SUM(Таблица3[[#This Row],[январь]:[декабрь]])</f>
        <v>496.80452358000002</v>
      </c>
    </row>
    <row r="50" spans="1:18" x14ac:dyDescent="0.25"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2" spans="1:18" ht="15.75" thickBot="1" x14ac:dyDescent="0.3"/>
    <row r="53" spans="1:18" x14ac:dyDescent="0.25">
      <c r="B53" s="139" t="s">
        <v>145</v>
      </c>
      <c r="D53" s="95">
        <f>D2/1000000</f>
        <v>1.400574736E-3</v>
      </c>
      <c r="E53" s="95">
        <f t="shared" ref="E53:P53" si="3">E2/1000000</f>
        <v>1.5451907187399999E-3</v>
      </c>
      <c r="F53" s="95">
        <f t="shared" si="3"/>
        <v>1.1459704120000001E-4</v>
      </c>
      <c r="G53" s="95">
        <f t="shared" si="3"/>
        <v>9.9521032290000004E-5</v>
      </c>
      <c r="H53" s="95">
        <f t="shared" si="3"/>
        <v>8.8088821440000006E-5</v>
      </c>
      <c r="I53" s="95">
        <f t="shared" si="3"/>
        <v>1.8430393232000001E-4</v>
      </c>
      <c r="J53" s="95">
        <f t="shared" si="3"/>
        <v>8.951425435000003E-5</v>
      </c>
      <c r="K53" s="95">
        <f t="shared" si="3"/>
        <v>7.5571499110000019E-5</v>
      </c>
      <c r="L53" s="95">
        <f t="shared" si="3"/>
        <v>1.1184079749000001E-4</v>
      </c>
      <c r="M53" s="95">
        <f t="shared" si="3"/>
        <v>1.018913489799999E-4</v>
      </c>
      <c r="N53" s="95">
        <f t="shared" si="3"/>
        <v>1.8784213112E-4</v>
      </c>
      <c r="O53" s="95">
        <f t="shared" si="3"/>
        <v>1.7462929294000007E-4</v>
      </c>
      <c r="P53" s="95">
        <f t="shared" si="3"/>
        <v>1.0915062464000011E-4</v>
      </c>
      <c r="Q53" s="95">
        <f t="shared" ref="Q53" si="4">Q2/1000000</f>
        <v>2.2802816398999977E-4</v>
      </c>
    </row>
    <row r="54" spans="1:18" x14ac:dyDescent="0.25">
      <c r="B54" s="140" t="s">
        <v>2</v>
      </c>
      <c r="D54" s="95">
        <f t="shared" ref="D54:P54" si="5">D4/1000000</f>
        <v>2.6642799999999998E-4</v>
      </c>
      <c r="E54" s="95">
        <f t="shared" si="5"/>
        <v>2.533635E-4</v>
      </c>
      <c r="F54" s="95">
        <f t="shared" si="5"/>
        <v>1.5574180120000001E-5</v>
      </c>
      <c r="G54" s="95">
        <f t="shared" si="5"/>
        <v>2.3611851970000006E-5</v>
      </c>
      <c r="H54" s="95">
        <f t="shared" si="5"/>
        <v>2.2329753659999998E-5</v>
      </c>
      <c r="I54" s="95">
        <f t="shared" si="5"/>
        <v>1.6781248609999999E-5</v>
      </c>
      <c r="J54" s="95">
        <f t="shared" si="5"/>
        <v>1.4414470010000005E-5</v>
      </c>
      <c r="K54" s="95">
        <f t="shared" si="5"/>
        <v>2.1852066519999998E-5</v>
      </c>
      <c r="L54" s="95">
        <f t="shared" si="5"/>
        <v>2.3594129779999984E-5</v>
      </c>
      <c r="M54" s="95">
        <f t="shared" si="5"/>
        <v>2.2206769770000011E-5</v>
      </c>
      <c r="N54" s="95">
        <f t="shared" si="5"/>
        <v>2.2506284999999997E-5</v>
      </c>
      <c r="O54" s="95">
        <f t="shared" si="5"/>
        <v>2.3897058770000011E-5</v>
      </c>
      <c r="P54" s="95">
        <f t="shared" si="5"/>
        <v>2.4343005799999983E-5</v>
      </c>
      <c r="Q54" s="95">
        <f t="shared" ref="Q54" si="6">Q4/1000000</f>
        <v>4.1071586050000013E-5</v>
      </c>
    </row>
    <row r="55" spans="1:18" x14ac:dyDescent="0.25">
      <c r="B55" s="141" t="s">
        <v>140</v>
      </c>
      <c r="D55" s="95">
        <f t="shared" ref="D55:P55" si="7">D5/1000000</f>
        <v>3.3000000000000003E-5</v>
      </c>
      <c r="E55" s="95">
        <f t="shared" si="7"/>
        <v>3.1380000000000001E-5</v>
      </c>
      <c r="F55" s="95">
        <f t="shared" si="7"/>
        <v>1.7909120300000001E-6</v>
      </c>
      <c r="G55" s="95">
        <f t="shared" si="7"/>
        <v>2.2249622499999999E-6</v>
      </c>
      <c r="H55" s="95">
        <f t="shared" si="7"/>
        <v>4.2648911500000007E-6</v>
      </c>
      <c r="I55" s="95">
        <f t="shared" si="7"/>
        <v>4.3076198300000002E-6</v>
      </c>
      <c r="J55" s="95">
        <f t="shared" si="7"/>
        <v>2.2709772799999993E-6</v>
      </c>
      <c r="K55" s="95">
        <f t="shared" si="7"/>
        <v>1.0495953800000009E-6</v>
      </c>
      <c r="L55" s="95">
        <f t="shared" si="7"/>
        <v>4.2825377599999998E-6</v>
      </c>
      <c r="M55" s="95">
        <f t="shared" si="7"/>
        <v>1.9362594099999999E-6</v>
      </c>
      <c r="N55" s="95">
        <f t="shared" si="7"/>
        <v>2.7797282199999984E-6</v>
      </c>
      <c r="O55" s="95">
        <f t="shared" si="7"/>
        <v>5.3261447900000023E-6</v>
      </c>
      <c r="P55" s="95">
        <f t="shared" si="7"/>
        <v>1.8419149199999981E-6</v>
      </c>
      <c r="Q55" s="95">
        <f t="shared" ref="Q55" si="8">Q5/1000000</f>
        <v>2.2869854899999983E-6</v>
      </c>
    </row>
    <row r="56" spans="1:18" x14ac:dyDescent="0.25">
      <c r="B56" s="140" t="s">
        <v>141</v>
      </c>
      <c r="D56" s="95">
        <f t="shared" ref="D56:P56" si="9">D6/1000000</f>
        <v>1.6800000000000002E-5</v>
      </c>
      <c r="E56" s="95">
        <f t="shared" si="9"/>
        <v>1.3499999999999999E-5</v>
      </c>
      <c r="F56" s="95">
        <f t="shared" si="9"/>
        <v>4.4619260499999998E-6</v>
      </c>
      <c r="G56" s="95">
        <f t="shared" si="9"/>
        <v>1.8886977000000049E-7</v>
      </c>
      <c r="H56" s="95">
        <f t="shared" si="9"/>
        <v>3.0026919999999924E-7</v>
      </c>
      <c r="I56" s="95">
        <f t="shared" si="9"/>
        <v>2.5183508000000006E-6</v>
      </c>
      <c r="J56" s="95">
        <f t="shared" si="9"/>
        <v>4.5082879000000003E-7</v>
      </c>
      <c r="K56" s="95">
        <f t="shared" si="9"/>
        <v>1.3799051999999956E-7</v>
      </c>
      <c r="L56" s="95">
        <f t="shared" si="9"/>
        <v>1.7199379599999999E-6</v>
      </c>
      <c r="M56" s="95">
        <f t="shared" si="9"/>
        <v>3.1486524000000022E-7</v>
      </c>
      <c r="N56" s="95">
        <f t="shared" si="9"/>
        <v>1.4817524000000022E-7</v>
      </c>
      <c r="O56" s="95">
        <f t="shared" si="9"/>
        <v>2.8523731299999989E-6</v>
      </c>
      <c r="P56" s="95">
        <f t="shared" si="9"/>
        <v>3.1125245000000114E-7</v>
      </c>
      <c r="Q56" s="95">
        <f t="shared" ref="Q56" si="10">Q6/1000000</f>
        <v>1.2481866000000014E-7</v>
      </c>
    </row>
    <row r="57" spans="1:18" x14ac:dyDescent="0.25">
      <c r="B57" s="141" t="s">
        <v>142</v>
      </c>
      <c r="D57" s="95">
        <f t="shared" ref="D57:P57" si="11">D7/1000000</f>
        <v>1.4999999999999999E-8</v>
      </c>
      <c r="E57" s="95">
        <f t="shared" si="11"/>
        <v>1.2499999999999999E-7</v>
      </c>
      <c r="F57" s="95">
        <f t="shared" si="11"/>
        <v>1E-10</v>
      </c>
      <c r="G57" s="95">
        <f t="shared" si="11"/>
        <v>1.3799999999999999E-10</v>
      </c>
      <c r="H57" s="95">
        <f t="shared" si="11"/>
        <v>2.3362999999999999E-8</v>
      </c>
      <c r="I57" s="95">
        <f t="shared" si="11"/>
        <v>2.3895000000000001E-9</v>
      </c>
      <c r="J57" s="95">
        <f t="shared" si="11"/>
        <v>-1.3545E-9</v>
      </c>
      <c r="K57" s="95">
        <f t="shared" si="11"/>
        <v>1.1295E-8</v>
      </c>
      <c r="L57" s="95">
        <f t="shared" si="11"/>
        <v>-5.9030600000000017E-9</v>
      </c>
      <c r="M57" s="95">
        <f t="shared" si="11"/>
        <v>0</v>
      </c>
      <c r="N57" s="95">
        <f t="shared" si="11"/>
        <v>7.2164099999999999E-9</v>
      </c>
      <c r="O57" s="95">
        <f t="shared" si="11"/>
        <v>-8.334469999999998E-9</v>
      </c>
      <c r="P57" s="95">
        <f t="shared" si="11"/>
        <v>-3.9881999999999971E-10</v>
      </c>
      <c r="Q57" s="95">
        <f t="shared" ref="Q57" si="12">Q7/1000000</f>
        <v>2.7007500000000001E-7</v>
      </c>
    </row>
    <row r="58" spans="1:18" x14ac:dyDescent="0.25">
      <c r="B58" s="140" t="s">
        <v>143</v>
      </c>
      <c r="D58" s="95">
        <f t="shared" ref="D58:P58" si="13">D8/1000000</f>
        <v>1.939E-6</v>
      </c>
      <c r="E58" s="95">
        <f t="shared" si="13"/>
        <v>1.6499999999999999E-6</v>
      </c>
      <c r="F58" s="95">
        <f t="shared" si="13"/>
        <v>8.2292949999999998E-8</v>
      </c>
      <c r="G58" s="95">
        <f t="shared" si="13"/>
        <v>4.4445510000000009E-8</v>
      </c>
      <c r="H58" s="95">
        <f t="shared" si="13"/>
        <v>2.5195932999999999E-7</v>
      </c>
      <c r="I58" s="95">
        <f t="shared" si="13"/>
        <v>3.0357010000000008E-8</v>
      </c>
      <c r="J58" s="95">
        <f t="shared" si="13"/>
        <v>5.2076900000000023E-9</v>
      </c>
      <c r="K58" s="95">
        <f t="shared" si="13"/>
        <v>1.4639350000000002E-7</v>
      </c>
      <c r="L58" s="95">
        <f t="shared" si="13"/>
        <v>5.3801930000000051E-8</v>
      </c>
      <c r="M58" s="95">
        <f t="shared" si="13"/>
        <v>2.3088329999999958E-8</v>
      </c>
      <c r="N58" s="95">
        <f t="shared" si="13"/>
        <v>1.3282686E-7</v>
      </c>
      <c r="O58" s="95">
        <f t="shared" si="13"/>
        <v>3.0467459999999965E-8</v>
      </c>
      <c r="P58" s="95">
        <f t="shared" si="13"/>
        <v>2.6711330000000018E-7</v>
      </c>
      <c r="Q58" s="95">
        <f t="shared" ref="Q58" si="14">Q8/1000000</f>
        <v>4.9470712999999993E-7</v>
      </c>
    </row>
    <row r="59" spans="1:18" x14ac:dyDescent="0.25">
      <c r="B59" s="141" t="s">
        <v>144</v>
      </c>
      <c r="D59" s="95">
        <f t="shared" ref="D59:P59" si="15">D9/1000000</f>
        <v>2.0183E-5</v>
      </c>
      <c r="E59" s="95">
        <f t="shared" si="15"/>
        <v>1.9550000000000001E-5</v>
      </c>
      <c r="F59" s="95">
        <f t="shared" si="15"/>
        <v>9.0432848000000047E-7</v>
      </c>
      <c r="G59" s="95">
        <f t="shared" si="15"/>
        <v>-7.5030050000000755E-8</v>
      </c>
      <c r="H59" s="95">
        <f t="shared" si="15"/>
        <v>5.8166904999999888E-7</v>
      </c>
      <c r="I59" s="95">
        <f t="shared" si="15"/>
        <v>7.8015641999999995E-7</v>
      </c>
      <c r="J59" s="95">
        <f t="shared" si="15"/>
        <v>2.4376930999999868E-7</v>
      </c>
      <c r="K59" s="95">
        <f t="shared" si="15"/>
        <v>1.649433800000027E-7</v>
      </c>
      <c r="L59" s="95">
        <f t="shared" si="15"/>
        <v>9.2031589000000439E-7</v>
      </c>
      <c r="M59" s="95">
        <f t="shared" si="15"/>
        <v>3.6369711999999358E-7</v>
      </c>
      <c r="N59" s="95">
        <f t="shared" si="15"/>
        <v>7.6730552000000334E-7</v>
      </c>
      <c r="O59" s="95">
        <f t="shared" si="15"/>
        <v>3.9742790099999942E-6</v>
      </c>
      <c r="P59" s="95">
        <f t="shared" si="15"/>
        <v>7.8530444800000047E-6</v>
      </c>
      <c r="Q59" s="95">
        <f t="shared" ref="Q59" si="16">Q9/1000000</f>
        <v>4.9462512299999973E-6</v>
      </c>
    </row>
    <row r="60" spans="1:18" x14ac:dyDescent="0.25">
      <c r="B60" s="140" t="s">
        <v>22</v>
      </c>
      <c r="D60" s="95">
        <f t="shared" ref="D60:P60" si="17">D10/1000000</f>
        <v>2.3980000000000001E-5</v>
      </c>
      <c r="E60" s="95">
        <f t="shared" si="17"/>
        <v>4.0500000000000002E-5</v>
      </c>
      <c r="F60" s="95">
        <f t="shared" si="17"/>
        <v>1.026354319E-5</v>
      </c>
      <c r="G60" s="95">
        <f t="shared" si="17"/>
        <v>2.1285270400000011E-6</v>
      </c>
      <c r="H60" s="95">
        <f t="shared" si="17"/>
        <v>3.7687432000000033E-7</v>
      </c>
      <c r="I60" s="95">
        <f t="shared" si="17"/>
        <v>7.9997260199999998E-6</v>
      </c>
      <c r="J60" s="95">
        <f t="shared" si="17"/>
        <v>1.0309688000000007E-6</v>
      </c>
      <c r="K60" s="95">
        <f t="shared" si="17"/>
        <v>4.0290723999999835E-7</v>
      </c>
      <c r="L60" s="95">
        <f t="shared" si="17"/>
        <v>8.6104571099999988E-6</v>
      </c>
      <c r="M60" s="95">
        <f t="shared" si="17"/>
        <v>5.3069808000000199E-7</v>
      </c>
      <c r="N60" s="95">
        <f t="shared" si="17"/>
        <v>4.0242099999999995E-7</v>
      </c>
      <c r="O60" s="95">
        <f t="shared" si="17"/>
        <v>7.7132699400000018E-6</v>
      </c>
      <c r="P60" s="95">
        <f t="shared" si="17"/>
        <v>1.8722538799999952E-6</v>
      </c>
      <c r="Q60" s="95">
        <f t="shared" ref="Q60" si="18">Q10/1000000</f>
        <v>2.0099726900000051E-6</v>
      </c>
    </row>
    <row r="61" spans="1:18" x14ac:dyDescent="0.25">
      <c r="B61" s="137" t="s">
        <v>135</v>
      </c>
      <c r="D61" s="95">
        <f t="shared" ref="D61:P61" si="19">D11/1000000</f>
        <v>5.0250000000000002E-5</v>
      </c>
      <c r="E61" s="95">
        <f t="shared" si="19"/>
        <v>4.1399999999999997E-5</v>
      </c>
      <c r="F61" s="95">
        <f t="shared" si="19"/>
        <v>5.3102859699999995E-6</v>
      </c>
      <c r="G61" s="95">
        <f t="shared" si="19"/>
        <v>1.5603545300000004E-6</v>
      </c>
      <c r="H61" s="95">
        <f t="shared" si="19"/>
        <v>4.6704238399999994E-6</v>
      </c>
      <c r="I61" s="95">
        <f t="shared" si="19"/>
        <v>3.7237581400000004E-6</v>
      </c>
      <c r="J61" s="95">
        <f t="shared" si="19"/>
        <v>1.2605517899999992E-6</v>
      </c>
      <c r="K61" s="95">
        <f t="shared" si="19"/>
        <v>3.0279246200000011E-6</v>
      </c>
      <c r="L61" s="95">
        <f t="shared" si="19"/>
        <v>4.2553342699999997E-6</v>
      </c>
      <c r="M61" s="95">
        <f t="shared" si="19"/>
        <v>1.6284654699999988E-6</v>
      </c>
      <c r="N61" s="95">
        <f t="shared" si="19"/>
        <v>4.2647671900000017E-6</v>
      </c>
      <c r="O61" s="95">
        <f t="shared" si="19"/>
        <v>6.5986370000000002E-6</v>
      </c>
      <c r="P61" s="95">
        <f t="shared" si="19"/>
        <v>1.8340024999999999E-6</v>
      </c>
      <c r="Q61" s="95">
        <f t="shared" ref="Q61" si="20">Q11/1000000</f>
        <v>4.3076861800000005E-6</v>
      </c>
    </row>
    <row r="62" spans="1:18" x14ac:dyDescent="0.25">
      <c r="B62" s="136" t="s">
        <v>136</v>
      </c>
      <c r="D62" s="95">
        <f t="shared" ref="D62:P62" si="21">D12/1000000</f>
        <v>3.6380000000000001E-5</v>
      </c>
      <c r="E62" s="95">
        <f t="shared" si="21"/>
        <v>2.0699999999999998E-5</v>
      </c>
      <c r="F62" s="95">
        <f t="shared" si="21"/>
        <v>1.64158817E-6</v>
      </c>
      <c r="G62" s="95">
        <f t="shared" si="21"/>
        <v>1.53936525E-6</v>
      </c>
      <c r="H62" s="95">
        <f t="shared" si="21"/>
        <v>1.9161937999999989E-7</v>
      </c>
      <c r="I62" s="95">
        <f t="shared" si="21"/>
        <v>2.1333517800000002E-6</v>
      </c>
      <c r="J62" s="95">
        <f t="shared" si="21"/>
        <v>1.1820987000000002E-6</v>
      </c>
      <c r="K62" s="95">
        <f t="shared" si="21"/>
        <v>2.0522065699999991E-6</v>
      </c>
      <c r="L62" s="95">
        <f t="shared" si="21"/>
        <v>2.62989182E-6</v>
      </c>
      <c r="M62" s="95">
        <f t="shared" si="21"/>
        <v>1.9465846999999993E-6</v>
      </c>
      <c r="N62" s="95">
        <f t="shared" si="21"/>
        <v>1.4226377800000013E-6</v>
      </c>
      <c r="O62" s="95">
        <f t="shared" si="21"/>
        <v>2.2944349599999989E-6</v>
      </c>
      <c r="P62" s="95">
        <f t="shared" si="21"/>
        <v>1.031741170000002E-6</v>
      </c>
      <c r="Q62" s="95">
        <f t="shared" ref="Q62" si="22">Q12/1000000</f>
        <v>3.3803485000000002E-6</v>
      </c>
    </row>
    <row r="63" spans="1:18" ht="15.75" thickBot="1" x14ac:dyDescent="0.3">
      <c r="B63" s="142" t="s">
        <v>137</v>
      </c>
      <c r="D63" s="95">
        <f t="shared" ref="D63:P63" si="23">D13/1000000</f>
        <v>9.3456673599999994E-4</v>
      </c>
      <c r="E63" s="95">
        <f t="shared" si="23"/>
        <v>1.10451494874E-3</v>
      </c>
      <c r="F63" s="95">
        <f t="shared" si="23"/>
        <v>7.3149585599999997E-5</v>
      </c>
      <c r="G63" s="95">
        <f t="shared" si="23"/>
        <v>6.65263E-5</v>
      </c>
      <c r="H63" s="95">
        <f t="shared" si="23"/>
        <v>5.3128154349999995E-5</v>
      </c>
      <c r="I63" s="95">
        <f t="shared" si="23"/>
        <v>1.4456292630000002E-4</v>
      </c>
      <c r="J63" s="95">
        <f t="shared" si="23"/>
        <v>6.7415366420000018E-5</v>
      </c>
      <c r="K63" s="95">
        <f t="shared" si="23"/>
        <v>4.5415280129999992E-5</v>
      </c>
      <c r="L63" s="95">
        <f t="shared" si="23"/>
        <v>6.3935721300000011E-5</v>
      </c>
      <c r="M63" s="95">
        <f t="shared" si="23"/>
        <v>7.1045063529999968E-5</v>
      </c>
      <c r="N63" s="95">
        <f t="shared" si="23"/>
        <v>1.5348785820000003E-4</v>
      </c>
      <c r="O63" s="95">
        <f t="shared" si="23"/>
        <v>1.2033905838999999E-4</v>
      </c>
      <c r="P63" s="95">
        <f t="shared" si="23"/>
        <v>6.8093049789999963E-5</v>
      </c>
      <c r="Q63" s="95">
        <f t="shared" ref="Q63" si="24">Q13/1000000</f>
        <v>1.6747228895000005E-4</v>
      </c>
    </row>
    <row r="64" spans="1:18" x14ac:dyDescent="0.25">
      <c r="B64" s="143" t="s">
        <v>145</v>
      </c>
      <c r="D64" s="95">
        <f t="shared" ref="D64:P64" si="25">D14/1000000</f>
        <v>1.37167229332E-3</v>
      </c>
      <c r="E64" s="95">
        <f t="shared" si="25"/>
        <v>1.6766358171500001E-3</v>
      </c>
      <c r="F64" s="95">
        <f t="shared" si="25"/>
        <v>7.3337764290000001E-5</v>
      </c>
      <c r="G64" s="95">
        <f t="shared" si="25"/>
        <v>1.0479650047000001E-4</v>
      </c>
      <c r="H64" s="95">
        <f t="shared" si="25"/>
        <v>1.1174994891999998E-4</v>
      </c>
      <c r="I64" s="95">
        <f t="shared" si="25"/>
        <v>2.4852653903000005E-4</v>
      </c>
      <c r="J64" s="95">
        <f t="shared" si="25"/>
        <v>4.0698775919999959E-5</v>
      </c>
      <c r="K64" s="95">
        <f t="shared" si="25"/>
        <v>6.0660071360000047E-5</v>
      </c>
      <c r="L64" s="95">
        <f t="shared" si="25"/>
        <v>1.2641026167999997E-4</v>
      </c>
      <c r="M64" s="95">
        <f t="shared" si="25"/>
        <v>2.1449017650999994E-4</v>
      </c>
      <c r="N64" s="95">
        <f t="shared" si="25"/>
        <v>1.1566740628000004E-4</v>
      </c>
      <c r="O64" s="95">
        <f t="shared" si="25"/>
        <v>2.2060458360000009E-4</v>
      </c>
      <c r="P64" s="95">
        <f t="shared" si="25"/>
        <v>1.243394751799999E-4</v>
      </c>
      <c r="Q64" s="95">
        <f t="shared" ref="Q64" si="26">Q14/1000000</f>
        <v>2.2360002401000006E-4</v>
      </c>
    </row>
    <row r="65" spans="2:17" x14ac:dyDescent="0.25">
      <c r="B65" s="144" t="s">
        <v>2</v>
      </c>
      <c r="D65" s="95">
        <f t="shared" ref="D65:P65" si="27">D16/1000000</f>
        <v>2.5784279999999999E-4</v>
      </c>
      <c r="E65" s="95">
        <f t="shared" si="27"/>
        <v>2.6084280000000001E-4</v>
      </c>
      <c r="F65" s="95">
        <f t="shared" si="27"/>
        <v>1.484417822E-5</v>
      </c>
      <c r="G65" s="95">
        <f t="shared" si="27"/>
        <v>2.4215185870000006E-5</v>
      </c>
      <c r="H65" s="95">
        <f t="shared" si="27"/>
        <v>2.3165304819999993E-5</v>
      </c>
      <c r="I65" s="95">
        <f t="shared" si="27"/>
        <v>2.2999112350000008E-5</v>
      </c>
      <c r="J65" s="95">
        <f t="shared" si="27"/>
        <v>1.6930330929999992E-5</v>
      </c>
      <c r="K65" s="95">
        <f t="shared" si="27"/>
        <v>2.0279929549999999E-5</v>
      </c>
      <c r="L65" s="95">
        <f t="shared" si="27"/>
        <v>2.326303789999999E-5</v>
      </c>
      <c r="M65" s="95">
        <f t="shared" si="27"/>
        <v>2.1249003680000009E-5</v>
      </c>
      <c r="N65" s="95">
        <f t="shared" si="27"/>
        <v>2.6230818030000002E-5</v>
      </c>
      <c r="O65" s="95">
        <f t="shared" si="27"/>
        <v>3.1488200990000008E-5</v>
      </c>
      <c r="P65" s="95">
        <f t="shared" si="27"/>
        <v>2.4952201569999994E-5</v>
      </c>
      <c r="Q65" s="95">
        <f t="shared" ref="Q65" si="28">Q16/1000000</f>
        <v>4.3752116690000026E-5</v>
      </c>
    </row>
    <row r="66" spans="2:17" x14ac:dyDescent="0.25">
      <c r="B66" s="144" t="s">
        <v>140</v>
      </c>
      <c r="D66" s="95">
        <f t="shared" ref="D66:P66" si="29">D17/1000000</f>
        <v>3.3380000000000002E-5</v>
      </c>
      <c r="E66" s="95">
        <f t="shared" si="29"/>
        <v>3.6479999999999996E-5</v>
      </c>
      <c r="F66" s="95">
        <f t="shared" si="29"/>
        <v>1.20212763E-6</v>
      </c>
      <c r="G66" s="95">
        <f t="shared" si="29"/>
        <v>1.7402350900000003E-6</v>
      </c>
      <c r="H66" s="95">
        <f t="shared" si="29"/>
        <v>3.7089639099999997E-6</v>
      </c>
      <c r="I66" s="95">
        <f t="shared" si="29"/>
        <v>7.1106315499999996E-6</v>
      </c>
      <c r="J66" s="95">
        <f t="shared" si="29"/>
        <v>2.4653442300000005E-6</v>
      </c>
      <c r="K66" s="95">
        <f t="shared" si="29"/>
        <v>2.8347836200000011E-6</v>
      </c>
      <c r="L66" s="95">
        <f t="shared" si="29"/>
        <v>5.4690018399999995E-6</v>
      </c>
      <c r="M66" s="95">
        <f t="shared" si="29"/>
        <v>7.1352030999999874E-7</v>
      </c>
      <c r="N66" s="95">
        <f t="shared" si="29"/>
        <v>1.3848972400000021E-6</v>
      </c>
      <c r="O66" s="95">
        <f t="shared" si="29"/>
        <v>5.7124450099999976E-6</v>
      </c>
      <c r="P66" s="95">
        <f t="shared" si="29"/>
        <v>1.7600098999999985E-6</v>
      </c>
      <c r="Q66" s="95">
        <f t="shared" ref="Q66" si="30">Q17/1000000</f>
        <v>2.1146144100000038E-6</v>
      </c>
    </row>
    <row r="67" spans="2:17" x14ac:dyDescent="0.25">
      <c r="B67" s="144" t="s">
        <v>141</v>
      </c>
      <c r="D67" s="95">
        <f t="shared" ref="D67:P67" si="31">D18/1000000</f>
        <v>4.2599999999999999E-6</v>
      </c>
      <c r="E67" s="95">
        <f t="shared" si="31"/>
        <v>2.26E-6</v>
      </c>
      <c r="F67" s="95">
        <f t="shared" si="31"/>
        <v>2.6209640699999999E-6</v>
      </c>
      <c r="G67" s="95">
        <f t="shared" si="31"/>
        <v>9.60744700000002E-8</v>
      </c>
      <c r="H67" s="95">
        <f t="shared" si="31"/>
        <v>8.0361439999999956E-8</v>
      </c>
      <c r="I67" s="95">
        <f t="shared" si="31"/>
        <v>-1.0901060000000057E-8</v>
      </c>
      <c r="J67" s="95">
        <f t="shared" si="31"/>
        <v>-2.7152358999999988E-7</v>
      </c>
      <c r="K67" s="95">
        <f t="shared" si="31"/>
        <v>-4.5060180000000164E-8</v>
      </c>
      <c r="L67" s="95">
        <f t="shared" si="31"/>
        <v>3.9977330000000073E-8</v>
      </c>
      <c r="M67" s="95">
        <f t="shared" si="31"/>
        <v>7.0490400000000375E-9</v>
      </c>
      <c r="N67" s="95">
        <f t="shared" si="31"/>
        <v>3.2029209999999963E-8</v>
      </c>
      <c r="O67" s="95">
        <f t="shared" si="31"/>
        <v>6.2657149999999912E-8</v>
      </c>
      <c r="P67" s="95">
        <f t="shared" si="31"/>
        <v>-1.6557729999999982E-8</v>
      </c>
      <c r="Q67" s="95">
        <f t="shared" ref="Q67" si="32">Q18/1000000</f>
        <v>-2.5023500000000932E-9</v>
      </c>
    </row>
    <row r="68" spans="2:17" x14ac:dyDescent="0.25">
      <c r="B68" s="144" t="s">
        <v>142</v>
      </c>
      <c r="D68" s="95">
        <f t="shared" ref="D68:P68" si="33">D19/1000000</f>
        <v>1.4999999999999999E-8</v>
      </c>
      <c r="E68" s="95">
        <f t="shared" si="33"/>
        <v>1.4999999999999999E-8</v>
      </c>
      <c r="F68" s="95">
        <f t="shared" si="33"/>
        <v>0</v>
      </c>
      <c r="G68" s="95">
        <f t="shared" si="33"/>
        <v>1.815E-9</v>
      </c>
      <c r="H68" s="95">
        <f t="shared" si="33"/>
        <v>3.5030999999999998E-8</v>
      </c>
      <c r="I68" s="95">
        <f t="shared" si="33"/>
        <v>2.8799999999999999E-10</v>
      </c>
      <c r="J68" s="95">
        <f t="shared" si="33"/>
        <v>7.649999999999999E-9</v>
      </c>
      <c r="K68" s="95">
        <f t="shared" si="33"/>
        <v>0</v>
      </c>
      <c r="L68" s="95">
        <f t="shared" si="33"/>
        <v>-1.0889999999999417E-11</v>
      </c>
      <c r="M68" s="95">
        <f t="shared" si="33"/>
        <v>-1.0112999999999739E-10</v>
      </c>
      <c r="N68" s="95">
        <f t="shared" si="33"/>
        <v>0</v>
      </c>
      <c r="O68" s="95">
        <f t="shared" si="33"/>
        <v>0</v>
      </c>
      <c r="P68" s="95">
        <f t="shared" si="33"/>
        <v>-1.7888600000000006E-9</v>
      </c>
      <c r="Q68" s="95">
        <f t="shared" ref="Q68" si="34">Q19/1000000</f>
        <v>-9.4579000000000072E-10</v>
      </c>
    </row>
    <row r="69" spans="2:17" x14ac:dyDescent="0.25">
      <c r="B69" s="144" t="s">
        <v>143</v>
      </c>
      <c r="D69" s="95">
        <f t="shared" ref="D69:P69" si="35">D20/1000000</f>
        <v>1.8000000000000001E-6</v>
      </c>
      <c r="E69" s="95">
        <f t="shared" si="35"/>
        <v>8.8000000000000004E-6</v>
      </c>
      <c r="F69" s="95">
        <f t="shared" si="35"/>
        <v>1.9681451E-7</v>
      </c>
      <c r="G69" s="95">
        <f t="shared" si="35"/>
        <v>3.3117395999999999E-7</v>
      </c>
      <c r="H69" s="95">
        <f t="shared" si="35"/>
        <v>1.8642582100000003E-6</v>
      </c>
      <c r="I69" s="95">
        <f t="shared" si="35"/>
        <v>8.3999263999999967E-7</v>
      </c>
      <c r="J69" s="95">
        <f t="shared" si="35"/>
        <v>3.2882677000000005E-7</v>
      </c>
      <c r="K69" s="95">
        <f t="shared" si="35"/>
        <v>7.3160302000000049E-7</v>
      </c>
      <c r="L69" s="95">
        <f t="shared" si="35"/>
        <v>4.362848599999994E-7</v>
      </c>
      <c r="M69" s="95">
        <f t="shared" si="35"/>
        <v>2.1984401000000069E-7</v>
      </c>
      <c r="N69" s="95">
        <f t="shared" si="35"/>
        <v>4.1532719999999921E-7</v>
      </c>
      <c r="O69" s="95">
        <f t="shared" si="35"/>
        <v>3.8828652000000044E-7</v>
      </c>
      <c r="P69" s="95">
        <f t="shared" si="35"/>
        <v>5.0229320999999998E-7</v>
      </c>
      <c r="Q69" s="95">
        <f t="shared" ref="Q69" si="36">Q20/1000000</f>
        <v>2.38684285E-6</v>
      </c>
    </row>
    <row r="70" spans="2:17" x14ac:dyDescent="0.25">
      <c r="B70" s="144" t="s">
        <v>144</v>
      </c>
      <c r="D70" s="95">
        <f t="shared" ref="D70:P70" si="37">D21/1000000</f>
        <v>1.8914999999999998E-5</v>
      </c>
      <c r="E70" s="95">
        <f t="shared" si="37"/>
        <v>1.7915E-5</v>
      </c>
      <c r="F70" s="95">
        <f t="shared" si="37"/>
        <v>6.2132487999999992E-7</v>
      </c>
      <c r="G70" s="95">
        <f t="shared" si="37"/>
        <v>2.4708563999999998E-7</v>
      </c>
      <c r="H70" s="95">
        <f t="shared" si="37"/>
        <v>5.4782553000000004E-7</v>
      </c>
      <c r="I70" s="95">
        <f t="shared" si="37"/>
        <v>8.2265625000000009E-7</v>
      </c>
      <c r="J70" s="95">
        <f t="shared" si="37"/>
        <v>2.6015173999999997E-7</v>
      </c>
      <c r="K70" s="95">
        <f t="shared" si="37"/>
        <v>1.7282313999999991E-7</v>
      </c>
      <c r="L70" s="95">
        <f t="shared" si="37"/>
        <v>6.9289076000000001E-7</v>
      </c>
      <c r="M70" s="95">
        <f t="shared" si="37"/>
        <v>3.6374191000000015E-7</v>
      </c>
      <c r="N70" s="95">
        <f t="shared" si="37"/>
        <v>4.9874822999999992E-7</v>
      </c>
      <c r="O70" s="95">
        <f t="shared" si="37"/>
        <v>5.6480664199999999E-6</v>
      </c>
      <c r="P70" s="95">
        <f t="shared" si="37"/>
        <v>8.7584022699999998E-6</v>
      </c>
      <c r="Q70" s="95">
        <f t="shared" ref="Q70" si="38">Q21/1000000</f>
        <v>6.8910218100000007E-6</v>
      </c>
    </row>
    <row r="71" spans="2:17" x14ac:dyDescent="0.25">
      <c r="B71" s="144" t="s">
        <v>22</v>
      </c>
      <c r="D71" s="95">
        <f t="shared" ref="D71:P71" si="39">D22/1000000</f>
        <v>3.2280000000000003E-5</v>
      </c>
      <c r="E71" s="95">
        <f t="shared" si="39"/>
        <v>2.2180000000000001E-5</v>
      </c>
      <c r="F71" s="95">
        <f t="shared" si="39"/>
        <v>1.0558455E-6</v>
      </c>
      <c r="G71" s="95">
        <f t="shared" si="39"/>
        <v>1.8281887400000004E-6</v>
      </c>
      <c r="H71" s="95">
        <f t="shared" si="39"/>
        <v>1.1599681299999999E-6</v>
      </c>
      <c r="I71" s="95">
        <f t="shared" si="39"/>
        <v>4.1161061299999994E-6</v>
      </c>
      <c r="J71" s="95">
        <f t="shared" si="39"/>
        <v>2.0453111000000034E-7</v>
      </c>
      <c r="K71" s="95">
        <f t="shared" si="39"/>
        <v>4.3380270999999996E-7</v>
      </c>
      <c r="L71" s="95">
        <f t="shared" si="39"/>
        <v>4.7958401999999992E-6</v>
      </c>
      <c r="M71" s="95">
        <f t="shared" si="39"/>
        <v>3.8006332000000032E-7</v>
      </c>
      <c r="N71" s="95">
        <f t="shared" si="39"/>
        <v>2.8544698000000048E-7</v>
      </c>
      <c r="O71" s="95">
        <f t="shared" si="39"/>
        <v>6.1430391900000012E-6</v>
      </c>
      <c r="P71" s="95">
        <f t="shared" si="39"/>
        <v>1.5858941600000001E-6</v>
      </c>
      <c r="Q71" s="95">
        <f t="shared" ref="Q71" si="40">Q22/1000000</f>
        <v>1.9874810000000001E-6</v>
      </c>
    </row>
    <row r="72" spans="2:17" x14ac:dyDescent="0.25">
      <c r="B72" s="138" t="s">
        <v>135</v>
      </c>
      <c r="D72" s="95">
        <f t="shared" ref="D72:P72" si="41">D23/1000000</f>
        <v>4.3399999999999998E-5</v>
      </c>
      <c r="E72" s="95">
        <f t="shared" si="41"/>
        <v>4.2500000000000003E-5</v>
      </c>
      <c r="F72" s="95">
        <f t="shared" si="41"/>
        <v>4.05063392E-6</v>
      </c>
      <c r="G72" s="95">
        <f t="shared" si="41"/>
        <v>1.9571513899999997E-6</v>
      </c>
      <c r="H72" s="95">
        <f t="shared" si="41"/>
        <v>3.0381713099999995E-6</v>
      </c>
      <c r="I72" s="95">
        <f t="shared" si="41"/>
        <v>4.7876039100000005E-6</v>
      </c>
      <c r="J72" s="95">
        <f t="shared" si="41"/>
        <v>2.6355817499999999E-6</v>
      </c>
      <c r="K72" s="95">
        <f t="shared" si="41"/>
        <v>2.663794299999999E-6</v>
      </c>
      <c r="L72" s="95">
        <f t="shared" si="41"/>
        <v>5.9398164600000011E-6</v>
      </c>
      <c r="M72" s="95">
        <f t="shared" si="41"/>
        <v>9.2109540000000222E-7</v>
      </c>
      <c r="N72" s="95">
        <f t="shared" si="41"/>
        <v>2.8011038899999967E-6</v>
      </c>
      <c r="O72" s="95">
        <f t="shared" si="41"/>
        <v>2.6303743700000011E-6</v>
      </c>
      <c r="P72" s="95">
        <f t="shared" si="41"/>
        <v>4.1546598799999987E-6</v>
      </c>
      <c r="Q72" s="95">
        <f t="shared" ref="Q72" si="42">Q23/1000000</f>
        <v>6.8051576900000052E-6</v>
      </c>
    </row>
    <row r="73" spans="2:17" x14ac:dyDescent="0.25">
      <c r="B73" s="138" t="s">
        <v>136</v>
      </c>
      <c r="D73" s="95">
        <f t="shared" ref="D73:P73" si="43">D24/1000000</f>
        <v>2.6999999999999999E-5</v>
      </c>
      <c r="E73" s="95">
        <f t="shared" si="43"/>
        <v>2.3710000000000002E-5</v>
      </c>
      <c r="F73" s="95">
        <f t="shared" si="43"/>
        <v>8.9958395999999998E-7</v>
      </c>
      <c r="G73" s="95">
        <f t="shared" si="43"/>
        <v>1.6450056800000002E-6</v>
      </c>
      <c r="H73" s="95">
        <f t="shared" si="43"/>
        <v>1.4995406299999998E-6</v>
      </c>
      <c r="I73" s="95">
        <f t="shared" si="43"/>
        <v>2.2913419400000001E-6</v>
      </c>
      <c r="J73" s="95">
        <f t="shared" si="43"/>
        <v>1.1598023399999999E-6</v>
      </c>
      <c r="K73" s="95">
        <f t="shared" si="43"/>
        <v>1.6563128400000008E-6</v>
      </c>
      <c r="L73" s="95">
        <f t="shared" si="43"/>
        <v>1.225311E-6</v>
      </c>
      <c r="M73" s="95">
        <f t="shared" si="43"/>
        <v>1.1356689900000004E-6</v>
      </c>
      <c r="N73" s="95">
        <f t="shared" si="43"/>
        <v>6.0222814900000003E-6</v>
      </c>
      <c r="O73" s="95">
        <f t="shared" si="43"/>
        <v>1.6865430899999999E-6</v>
      </c>
      <c r="P73" s="95">
        <f t="shared" si="43"/>
        <v>2.3156266699999982E-6</v>
      </c>
      <c r="Q73" s="95">
        <f t="shared" ref="Q73" si="44">Q24/1000000</f>
        <v>2.1564861799999999E-6</v>
      </c>
    </row>
    <row r="74" spans="2:17" ht="15.75" thickBot="1" x14ac:dyDescent="0.3">
      <c r="B74" s="145" t="s">
        <v>137</v>
      </c>
      <c r="D74" s="95">
        <f t="shared" ref="D74:P74" si="45">D25/1000000</f>
        <v>9.3404949332000003E-4</v>
      </c>
      <c r="E74" s="95">
        <f t="shared" si="45"/>
        <v>1.23837083571E-3</v>
      </c>
      <c r="F74" s="95">
        <f t="shared" si="45"/>
        <v>4.6557068549999995E-5</v>
      </c>
      <c r="G74" s="95">
        <f t="shared" si="45"/>
        <v>7.1818980759999997E-5</v>
      </c>
      <c r="H74" s="95">
        <f t="shared" si="45"/>
        <v>7.0754582169999986E-5</v>
      </c>
      <c r="I74" s="95">
        <f t="shared" si="45"/>
        <v>2.0356996749000005E-4</v>
      </c>
      <c r="J74" s="95">
        <f t="shared" si="45"/>
        <v>1.5432554899999977E-5</v>
      </c>
      <c r="K74" s="95">
        <f t="shared" si="45"/>
        <v>3.0263814540000019E-5</v>
      </c>
      <c r="L74" s="95">
        <f t="shared" si="45"/>
        <v>8.2765672009999986E-5</v>
      </c>
      <c r="M74" s="95">
        <f t="shared" si="45"/>
        <v>1.8792731425999992E-4</v>
      </c>
      <c r="N74" s="95">
        <f t="shared" si="45"/>
        <v>7.6269519950000045E-5</v>
      </c>
      <c r="O74" s="95">
        <f t="shared" si="45"/>
        <v>1.6430314307000005E-4</v>
      </c>
      <c r="P74" s="95">
        <f t="shared" si="45"/>
        <v>7.7964309199999928E-5</v>
      </c>
      <c r="Q74" s="95">
        <f t="shared" ref="Q74" si="46">Q25/1000000</f>
        <v>1.5491515437999998E-4</v>
      </c>
    </row>
    <row r="75" spans="2:17" x14ac:dyDescent="0.25">
      <c r="B75" s="139" t="s">
        <v>145</v>
      </c>
      <c r="D75" s="95">
        <f t="shared" ref="D75:P75" si="47">D26/1000000</f>
        <v>1.5957437723800002E-3</v>
      </c>
      <c r="E75" s="95">
        <f t="shared" si="47"/>
        <v>1.8834855641099999E-3</v>
      </c>
      <c r="F75" s="95">
        <f t="shared" si="47"/>
        <v>6.9466558910000003E-5</v>
      </c>
      <c r="G75" s="95">
        <f t="shared" si="47"/>
        <v>1.2219666599E-4</v>
      </c>
      <c r="H75" s="95">
        <f t="shared" si="47"/>
        <v>1.1603434685E-4</v>
      </c>
      <c r="I75" s="95">
        <f t="shared" si="47"/>
        <v>2.1656281995000005E-4</v>
      </c>
      <c r="J75" s="95">
        <f t="shared" si="47"/>
        <v>1.6901193190000001E-4</v>
      </c>
      <c r="K75" s="95">
        <f t="shared" si="47"/>
        <v>1.0375188057E-4</v>
      </c>
      <c r="L75" s="95">
        <f t="shared" si="47"/>
        <v>1.4685273574999993E-4</v>
      </c>
      <c r="M75" s="95">
        <f t="shared" si="47"/>
        <v>1.307984385900001E-4</v>
      </c>
      <c r="N75" s="95">
        <f t="shared" si="47"/>
        <v>2.2010035285999996E-4</v>
      </c>
      <c r="O75" s="95">
        <f t="shared" si="47"/>
        <v>1.4610853519999998E-4</v>
      </c>
      <c r="P75" s="95">
        <f t="shared" si="47"/>
        <v>1.8456724841000007E-4</v>
      </c>
      <c r="Q75" s="95">
        <f t="shared" ref="Q75" si="48">Q26/1000000</f>
        <v>2.7911280029999992E-4</v>
      </c>
    </row>
    <row r="76" spans="2:17" x14ac:dyDescent="0.25">
      <c r="B76" s="140" t="s">
        <v>2</v>
      </c>
      <c r="D76" s="95">
        <f t="shared" ref="D76:P76" si="49">D28/1000000</f>
        <v>2.9510000000000002E-4</v>
      </c>
      <c r="E76" s="95">
        <f t="shared" si="49"/>
        <v>2.9510000000000002E-4</v>
      </c>
      <c r="F76" s="95">
        <f t="shared" si="49"/>
        <v>1.115832016E-5</v>
      </c>
      <c r="G76" s="95">
        <f t="shared" si="49"/>
        <v>2.4889711389999997E-5</v>
      </c>
      <c r="H76" s="95">
        <f t="shared" si="49"/>
        <v>2.5051955730000004E-5</v>
      </c>
      <c r="I76" s="95">
        <f t="shared" si="49"/>
        <v>1.967304267E-5</v>
      </c>
      <c r="J76" s="95">
        <f t="shared" si="49"/>
        <v>2.0480385569999994E-5</v>
      </c>
      <c r="K76" s="95">
        <f t="shared" si="49"/>
        <v>2.4188138439999996E-5</v>
      </c>
      <c r="L76" s="95">
        <f t="shared" si="49"/>
        <v>3.0112403130000013E-5</v>
      </c>
      <c r="M76" s="95">
        <f t="shared" si="49"/>
        <v>2.7564713620000005E-5</v>
      </c>
      <c r="N76" s="95">
        <f t="shared" si="49"/>
        <v>2.7189244929999978E-5</v>
      </c>
      <c r="O76" s="95">
        <f t="shared" si="49"/>
        <v>3.0532260710000007E-5</v>
      </c>
      <c r="P76" s="95">
        <f t="shared" si="49"/>
        <v>2.6983225539999992E-5</v>
      </c>
      <c r="Q76" s="95">
        <f t="shared" ref="Q76" si="50">Q28/1000000</f>
        <v>4.7484294230000019E-5</v>
      </c>
    </row>
    <row r="77" spans="2:17" x14ac:dyDescent="0.25">
      <c r="B77" s="141" t="s">
        <v>140</v>
      </c>
      <c r="D77" s="95">
        <f t="shared" ref="D77:P77" si="51">D29/1000000</f>
        <v>3.4100000000000002E-5</v>
      </c>
      <c r="E77" s="95">
        <f t="shared" si="51"/>
        <v>4.9400000000000001E-5</v>
      </c>
      <c r="F77" s="95">
        <f t="shared" si="51"/>
        <v>3.2357777099999998E-6</v>
      </c>
      <c r="G77" s="95">
        <f t="shared" si="51"/>
        <v>1.9869015499999999E-6</v>
      </c>
      <c r="H77" s="95">
        <f t="shared" si="51"/>
        <v>5.8000538000000007E-6</v>
      </c>
      <c r="I77" s="95">
        <f t="shared" si="51"/>
        <v>9.1783837000000015E-6</v>
      </c>
      <c r="J77" s="95">
        <f t="shared" si="51"/>
        <v>5.2925199699999991E-6</v>
      </c>
      <c r="K77" s="95">
        <f t="shared" si="51"/>
        <v>3.0520892399999982E-6</v>
      </c>
      <c r="L77" s="95">
        <f t="shared" si="51"/>
        <v>7.2016621700000015E-6</v>
      </c>
      <c r="M77" s="95">
        <f t="shared" si="51"/>
        <v>2.3759205099999979E-6</v>
      </c>
      <c r="N77" s="95">
        <f t="shared" si="51"/>
        <v>8.6134457000000033E-7</v>
      </c>
      <c r="O77" s="95">
        <f t="shared" si="51"/>
        <v>1.021606621E-5</v>
      </c>
      <c r="P77" s="95">
        <f t="shared" si="51"/>
        <v>2.558068890000001E-6</v>
      </c>
      <c r="Q77" s="95">
        <f t="shared" ref="Q77" si="52">Q29/1000000</f>
        <v>3.0385551800000001E-6</v>
      </c>
    </row>
    <row r="78" spans="2:17" x14ac:dyDescent="0.25">
      <c r="B78" s="140" t="s">
        <v>141</v>
      </c>
      <c r="D78" s="95">
        <f t="shared" ref="D78:P78" si="53">D30/1000000</f>
        <v>0</v>
      </c>
      <c r="E78" s="95">
        <f t="shared" si="53"/>
        <v>0</v>
      </c>
      <c r="F78" s="95">
        <f t="shared" si="53"/>
        <v>1.1087999999999999E-9</v>
      </c>
      <c r="G78" s="95">
        <f t="shared" si="53"/>
        <v>-9.038099999999999E-10</v>
      </c>
      <c r="H78" s="95">
        <f t="shared" si="53"/>
        <v>3.316853E-8</v>
      </c>
      <c r="I78" s="95">
        <f t="shared" si="53"/>
        <v>-1.3199710000000001E-7</v>
      </c>
      <c r="J78" s="95">
        <f t="shared" si="53"/>
        <v>-4.0370299999999988E-9</v>
      </c>
      <c r="K78" s="95">
        <f t="shared" si="53"/>
        <v>2.4406009999999997E-8</v>
      </c>
      <c r="L78" s="95">
        <f t="shared" si="53"/>
        <v>-9.4252200000000023E-9</v>
      </c>
      <c r="M78" s="95">
        <f t="shared" si="53"/>
        <v>-1.8963668E-7</v>
      </c>
      <c r="N78" s="95">
        <f t="shared" si="53"/>
        <v>2.6932149999999994E-8</v>
      </c>
      <c r="O78" s="95">
        <f t="shared" si="53"/>
        <v>5.5763059999999994E-8</v>
      </c>
      <c r="P78" s="95">
        <f t="shared" si="53"/>
        <v>-2.6472699999999893E-9</v>
      </c>
      <c r="Q78" s="95">
        <f t="shared" ref="Q78" si="54">Q30/1000000</f>
        <v>-2.0757080000000017E-8</v>
      </c>
    </row>
    <row r="79" spans="2:17" x14ac:dyDescent="0.25">
      <c r="B79" s="141" t="s">
        <v>142</v>
      </c>
      <c r="D79" s="95">
        <f t="shared" ref="D79:P79" si="55">D31/1000000</f>
        <v>4.4999999999999999E-8</v>
      </c>
      <c r="E79" s="95">
        <f t="shared" si="55"/>
        <v>7.1999999999999996E-8</v>
      </c>
      <c r="F79" s="95">
        <f t="shared" si="55"/>
        <v>0</v>
      </c>
      <c r="G79" s="95">
        <f t="shared" si="55"/>
        <v>0</v>
      </c>
      <c r="H79" s="95">
        <f t="shared" si="55"/>
        <v>6.6056000000000006E-8</v>
      </c>
      <c r="I79" s="95">
        <f t="shared" si="55"/>
        <v>9.7179999999999997E-9</v>
      </c>
      <c r="J79" s="95">
        <f t="shared" si="55"/>
        <v>0</v>
      </c>
      <c r="K79" s="95">
        <f t="shared" si="55"/>
        <v>0</v>
      </c>
      <c r="L79" s="95">
        <f t="shared" si="55"/>
        <v>1.7697700000000041E-9</v>
      </c>
      <c r="M79" s="95">
        <f t="shared" si="55"/>
        <v>0</v>
      </c>
      <c r="N79" s="95">
        <f t="shared" si="55"/>
        <v>2.1656999999999243E-10</v>
      </c>
      <c r="O79" s="95">
        <f t="shared" si="55"/>
        <v>0</v>
      </c>
      <c r="P79" s="95">
        <f t="shared" si="55"/>
        <v>0</v>
      </c>
      <c r="Q79" s="95">
        <f t="shared" ref="Q79" si="56">Q31/1000000</f>
        <v>5.8647000000000118E-10</v>
      </c>
    </row>
    <row r="80" spans="2:17" x14ac:dyDescent="0.25">
      <c r="B80" s="140" t="s">
        <v>143</v>
      </c>
      <c r="D80" s="95">
        <f t="shared" ref="D80:P80" si="57">D32/1000000</f>
        <v>5.9699999999999996E-6</v>
      </c>
      <c r="E80" s="95">
        <f t="shared" si="57"/>
        <v>9.0000000000000002E-6</v>
      </c>
      <c r="F80" s="95">
        <f t="shared" si="57"/>
        <v>5.4634200999999999E-7</v>
      </c>
      <c r="G80" s="95">
        <f t="shared" si="57"/>
        <v>5.2271697999999996E-7</v>
      </c>
      <c r="H80" s="95">
        <f t="shared" si="57"/>
        <v>1.9744000599999999E-6</v>
      </c>
      <c r="I80" s="95">
        <f t="shared" si="57"/>
        <v>1.3719498300000001E-6</v>
      </c>
      <c r="J80" s="95">
        <f t="shared" si="57"/>
        <v>7.3261237000000017E-7</v>
      </c>
      <c r="K80" s="95">
        <f t="shared" si="57"/>
        <v>6.5430441999999986E-7</v>
      </c>
      <c r="L80" s="95">
        <f t="shared" si="57"/>
        <v>4.3748903000000028E-7</v>
      </c>
      <c r="M80" s="95">
        <f t="shared" si="57"/>
        <v>1.5832012999999989E-7</v>
      </c>
      <c r="N80" s="95">
        <f t="shared" si="57"/>
        <v>3.8570904999999981E-7</v>
      </c>
      <c r="O80" s="95">
        <f t="shared" si="57"/>
        <v>6.6812416999999991E-7</v>
      </c>
      <c r="P80" s="95">
        <f t="shared" si="57"/>
        <v>4.3680831000000055E-7</v>
      </c>
      <c r="Q80" s="95">
        <f t="shared" ref="Q80" si="58">Q32/1000000</f>
        <v>3.4863405400000001E-6</v>
      </c>
    </row>
    <row r="81" spans="2:17" x14ac:dyDescent="0.25">
      <c r="B81" s="141" t="s">
        <v>144</v>
      </c>
      <c r="D81" s="95">
        <f t="shared" ref="D81:P81" si="59">D33/1000000</f>
        <v>1.8449999999999998E-5</v>
      </c>
      <c r="E81" s="95">
        <f t="shared" si="59"/>
        <v>2.3899999999999998E-5</v>
      </c>
      <c r="F81" s="95">
        <f t="shared" si="59"/>
        <v>3.9939773000000001E-7</v>
      </c>
      <c r="G81" s="95">
        <f t="shared" si="59"/>
        <v>3.3147027000000002E-7</v>
      </c>
      <c r="H81" s="95">
        <f t="shared" si="59"/>
        <v>4.7382929999999995E-7</v>
      </c>
      <c r="I81" s="95">
        <f t="shared" si="59"/>
        <v>6.9692404999999994E-7</v>
      </c>
      <c r="J81" s="95">
        <f t="shared" si="59"/>
        <v>4.141681000000001E-7</v>
      </c>
      <c r="K81" s="95">
        <f t="shared" si="59"/>
        <v>1.1248296999999997E-7</v>
      </c>
      <c r="L81" s="95">
        <f t="shared" si="59"/>
        <v>6.5925582000000002E-7</v>
      </c>
      <c r="M81" s="95">
        <f t="shared" si="59"/>
        <v>2.5613570999999997E-7</v>
      </c>
      <c r="N81" s="95">
        <f t="shared" si="59"/>
        <v>2.1528685700000003E-6</v>
      </c>
      <c r="O81" s="95">
        <f t="shared" si="59"/>
        <v>4.0686078999999997E-6</v>
      </c>
      <c r="P81" s="95">
        <f t="shared" si="59"/>
        <v>1.0392069529999999E-5</v>
      </c>
      <c r="Q81" s="95">
        <f t="shared" ref="Q81" si="60">Q33/1000000</f>
        <v>5.4145475700000042E-6</v>
      </c>
    </row>
    <row r="82" spans="2:17" x14ac:dyDescent="0.25">
      <c r="B82" s="140" t="s">
        <v>22</v>
      </c>
      <c r="D82" s="95">
        <f t="shared" ref="D82:P82" si="61">D34/1000000</f>
        <v>1.8940000000000002E-5</v>
      </c>
      <c r="E82" s="95">
        <f t="shared" si="61"/>
        <v>2.9799999999999999E-5</v>
      </c>
      <c r="F82" s="95">
        <f t="shared" si="61"/>
        <v>1.19229218E-6</v>
      </c>
      <c r="G82" s="95">
        <f t="shared" si="61"/>
        <v>2.72216599E-6</v>
      </c>
      <c r="H82" s="95">
        <f t="shared" si="61"/>
        <v>3.446686200000001E-7</v>
      </c>
      <c r="I82" s="95">
        <f t="shared" si="61"/>
        <v>7.1789427899999996E-6</v>
      </c>
      <c r="J82" s="95">
        <f t="shared" si="61"/>
        <v>9.5953455000000069E-7</v>
      </c>
      <c r="K82" s="95">
        <f t="shared" si="61"/>
        <v>-8.255252000000142E-8</v>
      </c>
      <c r="L82" s="95">
        <f t="shared" si="61"/>
        <v>7.7099112000000005E-6</v>
      </c>
      <c r="M82" s="95">
        <f t="shared" si="61"/>
        <v>3.8266444000000135E-7</v>
      </c>
      <c r="N82" s="95">
        <f t="shared" si="61"/>
        <v>1.1345497399999984E-6</v>
      </c>
      <c r="O82" s="95">
        <f t="shared" si="61"/>
        <v>8.1983479000000022E-6</v>
      </c>
      <c r="P82" s="95">
        <f t="shared" si="61"/>
        <v>1.3592727800000013E-6</v>
      </c>
      <c r="Q82" s="95">
        <f t="shared" ref="Q82" si="62">Q34/1000000</f>
        <v>1.4141430999999977E-6</v>
      </c>
    </row>
    <row r="83" spans="2:17" x14ac:dyDescent="0.25">
      <c r="B83" s="137" t="s">
        <v>135</v>
      </c>
      <c r="D83" s="95">
        <f t="shared" ref="D83:P83" si="63">D35/1000000</f>
        <v>4.4700000000000002E-5</v>
      </c>
      <c r="E83" s="95">
        <f t="shared" si="63"/>
        <v>4.62996E-5</v>
      </c>
      <c r="F83" s="95">
        <f t="shared" si="63"/>
        <v>2.7459222499999999E-6</v>
      </c>
      <c r="G83" s="95">
        <f t="shared" si="63"/>
        <v>2.64054945E-6</v>
      </c>
      <c r="H83" s="95">
        <f t="shared" si="63"/>
        <v>5.75174578E-6</v>
      </c>
      <c r="I83" s="95">
        <f t="shared" si="63"/>
        <v>5.2810740399999991E-6</v>
      </c>
      <c r="J83" s="95">
        <f t="shared" si="63"/>
        <v>2.7579893700000011E-6</v>
      </c>
      <c r="K83" s="95">
        <f t="shared" si="63"/>
        <v>3.4306149099999999E-6</v>
      </c>
      <c r="L83" s="95">
        <f t="shared" si="63"/>
        <v>4.534167300000001E-6</v>
      </c>
      <c r="M83" s="95">
        <f t="shared" si="63"/>
        <v>4.5719898799999993E-6</v>
      </c>
      <c r="N83" s="95">
        <f t="shared" si="63"/>
        <v>3.0021063700000013E-6</v>
      </c>
      <c r="O83" s="95">
        <f t="shared" si="63"/>
        <v>4.9720750000000002E-6</v>
      </c>
      <c r="P83" s="95">
        <f t="shared" si="63"/>
        <v>2.6244939499999957E-6</v>
      </c>
      <c r="Q83" s="95">
        <f t="shared" ref="Q83" si="64">Q35/1000000</f>
        <v>5.8833005800000051E-6</v>
      </c>
    </row>
    <row r="84" spans="2:17" x14ac:dyDescent="0.25">
      <c r="B84" s="136" t="s">
        <v>136</v>
      </c>
      <c r="D84" s="95">
        <f t="shared" ref="D84:P84" si="65">D36/1000000</f>
        <v>2.5399999999999997E-5</v>
      </c>
      <c r="E84" s="95">
        <f t="shared" si="65"/>
        <v>1.4574999999999999E-5</v>
      </c>
      <c r="F84" s="95">
        <f t="shared" si="65"/>
        <v>1.1500598500000001E-6</v>
      </c>
      <c r="G84" s="95">
        <f t="shared" si="65"/>
        <v>1.0734659899999996E-6</v>
      </c>
      <c r="H84" s="95">
        <f t="shared" si="65"/>
        <v>1.37074971E-6</v>
      </c>
      <c r="I84" s="95">
        <f t="shared" si="65"/>
        <v>1.1828404400000003E-6</v>
      </c>
      <c r="J84" s="95">
        <f t="shared" si="65"/>
        <v>1.06427837E-6</v>
      </c>
      <c r="K84" s="95">
        <f t="shared" si="65"/>
        <v>9.9797849999999995E-7</v>
      </c>
      <c r="L84" s="95">
        <f t="shared" si="65"/>
        <v>1.6427506299999998E-6</v>
      </c>
      <c r="M84" s="95">
        <f t="shared" si="65"/>
        <v>1.0668352899999992E-6</v>
      </c>
      <c r="N84" s="95">
        <f t="shared" si="65"/>
        <v>1.2284592599999998E-6</v>
      </c>
      <c r="O84" s="95">
        <f t="shared" si="65"/>
        <v>1.0372229700000007E-6</v>
      </c>
      <c r="P84" s="95">
        <f t="shared" si="65"/>
        <v>1.6857971099999993E-6</v>
      </c>
      <c r="Q84" s="95">
        <f t="shared" ref="Q84" si="66">Q36/1000000</f>
        <v>2.83319782E-6</v>
      </c>
    </row>
    <row r="85" spans="2:17" ht="15.75" thickBot="1" x14ac:dyDescent="0.3">
      <c r="B85" s="142" t="s">
        <v>137</v>
      </c>
      <c r="D85" s="95">
        <f t="shared" ref="D85:P85" si="67">D37/1000000</f>
        <v>1.1338437723800001E-3</v>
      </c>
      <c r="E85" s="95">
        <f t="shared" si="67"/>
        <v>1.3799114997799999E-3</v>
      </c>
      <c r="F85" s="95">
        <f t="shared" si="67"/>
        <v>4.6347814569999995E-5</v>
      </c>
      <c r="G85" s="95">
        <f t="shared" si="67"/>
        <v>7.8004778000000002E-5</v>
      </c>
      <c r="H85" s="95">
        <f t="shared" si="67"/>
        <v>7.2668671129999993E-5</v>
      </c>
      <c r="I85" s="95">
        <f t="shared" si="67"/>
        <v>1.7050555560000003E-4</v>
      </c>
      <c r="J85" s="95">
        <f t="shared" si="67"/>
        <v>1.3526964942000002E-4</v>
      </c>
      <c r="K85" s="95">
        <f t="shared" si="67"/>
        <v>6.8045261889999992E-5</v>
      </c>
      <c r="L85" s="95">
        <f t="shared" si="67"/>
        <v>9.1504526069999937E-5</v>
      </c>
      <c r="M85" s="95">
        <f t="shared" si="67"/>
        <v>9.1950691410000094E-5</v>
      </c>
      <c r="N85" s="95">
        <f t="shared" si="67"/>
        <v>1.8119070714999998E-4</v>
      </c>
      <c r="O85" s="95">
        <f t="shared" si="67"/>
        <v>8.4007774279999976E-5</v>
      </c>
      <c r="P85" s="95">
        <f t="shared" si="67"/>
        <v>1.364337561500001E-4</v>
      </c>
      <c r="Q85" s="95">
        <f t="shared" ref="Q85" si="68">Q37/1000000</f>
        <v>2.0737874863999985E-4</v>
      </c>
    </row>
    <row r="86" spans="2:17" x14ac:dyDescent="0.25">
      <c r="B86" s="143" t="s">
        <v>145</v>
      </c>
      <c r="D86" s="95">
        <f t="shared" ref="D86:P86" si="69">D38/1000000</f>
        <v>2.07201587402E-3</v>
      </c>
      <c r="E86" s="95">
        <f t="shared" si="69"/>
        <v>2.07201587402E-3</v>
      </c>
      <c r="F86" s="95">
        <f t="shared" si="69"/>
        <v>-3.1568055100000002E-5</v>
      </c>
      <c r="G86" s="95">
        <f t="shared" si="69"/>
        <v>8.3081958910000001E-5</v>
      </c>
      <c r="H86" s="95">
        <f t="shared" si="69"/>
        <v>2.0833519728000001E-4</v>
      </c>
      <c r="I86" s="95">
        <f t="shared" si="69"/>
        <v>3.0091020773000002E-4</v>
      </c>
      <c r="J86" s="95">
        <f t="shared" si="69"/>
        <v>2.4920810380000001E-4</v>
      </c>
      <c r="K86" s="95">
        <f t="shared" si="69"/>
        <v>0</v>
      </c>
      <c r="L86" s="95">
        <f t="shared" si="69"/>
        <v>0</v>
      </c>
      <c r="M86" s="95">
        <f t="shared" si="69"/>
        <v>0</v>
      </c>
      <c r="N86" s="95">
        <f t="shared" si="69"/>
        <v>0</v>
      </c>
      <c r="O86" s="95">
        <f t="shared" si="69"/>
        <v>0</v>
      </c>
      <c r="P86" s="95">
        <f t="shared" si="69"/>
        <v>0</v>
      </c>
      <c r="Q86" s="95">
        <f t="shared" ref="Q86" si="70">Q38/1000000</f>
        <v>0</v>
      </c>
    </row>
    <row r="87" spans="2:17" x14ac:dyDescent="0.25">
      <c r="B87" s="144" t="s">
        <v>2</v>
      </c>
      <c r="D87" s="95">
        <f t="shared" ref="D87:P87" si="71">D40/1000000</f>
        <v>3.196028E-4</v>
      </c>
      <c r="E87" s="95">
        <f t="shared" si="71"/>
        <v>3.196028E-4</v>
      </c>
      <c r="F87" s="95">
        <f t="shared" si="71"/>
        <v>7.6541764000000011E-6</v>
      </c>
      <c r="G87" s="95">
        <f t="shared" si="71"/>
        <v>-7.1474850000001305E-8</v>
      </c>
      <c r="H87" s="95">
        <f t="shared" si="71"/>
        <v>3.5292583140000006E-5</v>
      </c>
      <c r="I87" s="95">
        <f t="shared" si="71"/>
        <v>1.5807564895E-4</v>
      </c>
      <c r="J87" s="95">
        <f t="shared" si="71"/>
        <v>2.8219215500000002E-5</v>
      </c>
      <c r="K87" s="95">
        <f t="shared" si="71"/>
        <v>0</v>
      </c>
      <c r="L87" s="95">
        <f t="shared" si="71"/>
        <v>0</v>
      </c>
      <c r="M87" s="95">
        <f t="shared" si="71"/>
        <v>0</v>
      </c>
      <c r="N87" s="95">
        <f t="shared" si="71"/>
        <v>0</v>
      </c>
      <c r="O87" s="95">
        <f t="shared" si="71"/>
        <v>0</v>
      </c>
      <c r="P87" s="95">
        <f t="shared" si="71"/>
        <v>0</v>
      </c>
      <c r="Q87" s="95">
        <f t="shared" ref="Q87" si="72">Q40/1000000</f>
        <v>0</v>
      </c>
    </row>
    <row r="88" spans="2:17" x14ac:dyDescent="0.25">
      <c r="B88" s="144" t="s">
        <v>140</v>
      </c>
      <c r="D88" s="95">
        <f t="shared" ref="D88:P88" si="73">D41/1000000</f>
        <v>6.0000000000000002E-5</v>
      </c>
      <c r="E88" s="95">
        <f t="shared" si="73"/>
        <v>6.0000000000000002E-5</v>
      </c>
      <c r="F88" s="95">
        <f t="shared" si="73"/>
        <v>3.8279731700000003E-6</v>
      </c>
      <c r="G88" s="95">
        <f t="shared" si="73"/>
        <v>-2.4191002299999996E-6</v>
      </c>
      <c r="H88" s="95">
        <f t="shared" si="73"/>
        <v>1.2334213460000001E-5</v>
      </c>
      <c r="I88" s="95">
        <f t="shared" si="73"/>
        <v>1.8242600779999997E-5</v>
      </c>
      <c r="J88" s="95">
        <f t="shared" si="73"/>
        <v>1.9540962599999979E-6</v>
      </c>
      <c r="K88" s="95">
        <f t="shared" si="73"/>
        <v>0</v>
      </c>
      <c r="L88" s="95">
        <f t="shared" si="73"/>
        <v>0</v>
      </c>
      <c r="M88" s="95">
        <f t="shared" si="73"/>
        <v>0</v>
      </c>
      <c r="N88" s="95">
        <f t="shared" si="73"/>
        <v>0</v>
      </c>
      <c r="O88" s="95">
        <f t="shared" si="73"/>
        <v>0</v>
      </c>
      <c r="P88" s="95">
        <f t="shared" si="73"/>
        <v>0</v>
      </c>
      <c r="Q88" s="95">
        <f t="shared" ref="Q88" si="74">Q41/1000000</f>
        <v>0</v>
      </c>
    </row>
    <row r="89" spans="2:17" x14ac:dyDescent="0.25">
      <c r="B89" s="144" t="s">
        <v>141</v>
      </c>
      <c r="D89" s="95">
        <f t="shared" ref="D89:P89" si="75">D42/1000000</f>
        <v>0</v>
      </c>
      <c r="E89" s="95">
        <f t="shared" si="75"/>
        <v>0</v>
      </c>
      <c r="F89" s="95">
        <f t="shared" si="75"/>
        <v>-2.5132083999999998E-7</v>
      </c>
      <c r="G89" s="95">
        <f t="shared" si="75"/>
        <v>-8.6648000000000274E-9</v>
      </c>
      <c r="H89" s="95">
        <f t="shared" si="75"/>
        <v>5.3534700000000019E-8</v>
      </c>
      <c r="I89" s="95">
        <f t="shared" si="75"/>
        <v>1.4670679999999992E-8</v>
      </c>
      <c r="J89" s="95">
        <f t="shared" si="75"/>
        <v>1.3692970000000001E-8</v>
      </c>
      <c r="K89" s="95">
        <f t="shared" si="75"/>
        <v>0</v>
      </c>
      <c r="L89" s="95">
        <f t="shared" si="75"/>
        <v>0</v>
      </c>
      <c r="M89" s="95">
        <f t="shared" si="75"/>
        <v>0</v>
      </c>
      <c r="N89" s="95">
        <f t="shared" si="75"/>
        <v>0</v>
      </c>
      <c r="O89" s="95">
        <f t="shared" si="75"/>
        <v>0</v>
      </c>
      <c r="P89" s="95">
        <f t="shared" si="75"/>
        <v>0</v>
      </c>
      <c r="Q89" s="95">
        <f t="shared" ref="Q89" si="76">Q42/1000000</f>
        <v>0</v>
      </c>
    </row>
    <row r="90" spans="2:17" x14ac:dyDescent="0.25">
      <c r="B90" s="144" t="s">
        <v>142</v>
      </c>
      <c r="D90" s="95">
        <f t="shared" ref="D90:P90" si="77">D43/1000000</f>
        <v>0</v>
      </c>
      <c r="E90" s="95">
        <f t="shared" si="77"/>
        <v>0</v>
      </c>
      <c r="F90" s="95">
        <f t="shared" si="77"/>
        <v>0</v>
      </c>
      <c r="G90" s="95">
        <f t="shared" si="77"/>
        <v>-5.4E-10</v>
      </c>
      <c r="H90" s="95">
        <f t="shared" si="77"/>
        <v>3.7689000000000001E-8</v>
      </c>
      <c r="I90" s="95">
        <f t="shared" si="77"/>
        <v>0</v>
      </c>
      <c r="J90" s="95">
        <f t="shared" si="77"/>
        <v>0</v>
      </c>
      <c r="K90" s="95">
        <f t="shared" si="77"/>
        <v>0</v>
      </c>
      <c r="L90" s="95">
        <f t="shared" si="77"/>
        <v>0</v>
      </c>
      <c r="M90" s="95">
        <f t="shared" si="77"/>
        <v>0</v>
      </c>
      <c r="N90" s="95">
        <f t="shared" si="77"/>
        <v>0</v>
      </c>
      <c r="O90" s="95">
        <f t="shared" si="77"/>
        <v>0</v>
      </c>
      <c r="P90" s="95">
        <f t="shared" si="77"/>
        <v>0</v>
      </c>
      <c r="Q90" s="95">
        <f t="shared" ref="Q90" si="78">Q43/1000000</f>
        <v>0</v>
      </c>
    </row>
    <row r="91" spans="2:17" x14ac:dyDescent="0.25">
      <c r="B91" s="144" t="s">
        <v>143</v>
      </c>
      <c r="D91" s="95">
        <f t="shared" ref="D91:P91" si="79">D44/1000000</f>
        <v>9.0999999999999993E-6</v>
      </c>
      <c r="E91" s="95">
        <f t="shared" si="79"/>
        <v>9.0999999999999993E-6</v>
      </c>
      <c r="F91" s="95">
        <f t="shared" si="79"/>
        <v>-6.5145651999999996E-7</v>
      </c>
      <c r="G91" s="95">
        <f t="shared" si="79"/>
        <v>-4.3984168999999994E-7</v>
      </c>
      <c r="H91" s="95">
        <f t="shared" si="79"/>
        <v>3.1955566999999984E-7</v>
      </c>
      <c r="I91" s="95">
        <f t="shared" si="79"/>
        <v>3.8340104600000003E-6</v>
      </c>
      <c r="J91" s="95">
        <f t="shared" si="79"/>
        <v>3.3477733999999986E-7</v>
      </c>
      <c r="K91" s="95">
        <f t="shared" si="79"/>
        <v>0</v>
      </c>
      <c r="L91" s="95">
        <f t="shared" si="79"/>
        <v>0</v>
      </c>
      <c r="M91" s="95">
        <f t="shared" si="79"/>
        <v>0</v>
      </c>
      <c r="N91" s="95">
        <f t="shared" si="79"/>
        <v>0</v>
      </c>
      <c r="O91" s="95">
        <f t="shared" si="79"/>
        <v>0</v>
      </c>
      <c r="P91" s="95">
        <f t="shared" si="79"/>
        <v>0</v>
      </c>
      <c r="Q91" s="95">
        <f t="shared" ref="Q91" si="80">Q44/1000000</f>
        <v>0</v>
      </c>
    </row>
    <row r="92" spans="2:17" x14ac:dyDescent="0.25">
      <c r="B92" s="144" t="s">
        <v>144</v>
      </c>
      <c r="D92" s="95">
        <f t="shared" ref="D92:P92" si="81">D45/1000000</f>
        <v>2.5000000000000001E-5</v>
      </c>
      <c r="E92" s="95">
        <f t="shared" si="81"/>
        <v>2.5000000000000001E-5</v>
      </c>
      <c r="F92" s="95">
        <f t="shared" si="81"/>
        <v>-4.2751341999999996E-7</v>
      </c>
      <c r="G92" s="95">
        <f t="shared" si="81"/>
        <v>-2.2886804500000002E-6</v>
      </c>
      <c r="H92" s="95">
        <f t="shared" si="81"/>
        <v>9.9284920999999983E-7</v>
      </c>
      <c r="I92" s="95">
        <f t="shared" si="81"/>
        <v>2.9029824999999974E-7</v>
      </c>
      <c r="J92" s="95">
        <f t="shared" si="81"/>
        <v>-1.0654842999999993E-7</v>
      </c>
      <c r="K92" s="95">
        <f t="shared" si="81"/>
        <v>0</v>
      </c>
      <c r="L92" s="95">
        <f t="shared" si="81"/>
        <v>0</v>
      </c>
      <c r="M92" s="95">
        <f t="shared" si="81"/>
        <v>0</v>
      </c>
      <c r="N92" s="95">
        <f t="shared" si="81"/>
        <v>0</v>
      </c>
      <c r="O92" s="95">
        <f t="shared" si="81"/>
        <v>0</v>
      </c>
      <c r="P92" s="95">
        <f t="shared" si="81"/>
        <v>0</v>
      </c>
      <c r="Q92" s="95">
        <f t="shared" ref="Q92" si="82">Q45/1000000</f>
        <v>0</v>
      </c>
    </row>
    <row r="93" spans="2:17" x14ac:dyDescent="0.25">
      <c r="B93" s="144" t="s">
        <v>22</v>
      </c>
      <c r="D93" s="95">
        <f t="shared" ref="D93:P93" si="83">D46/1000000</f>
        <v>2.8800000000000002E-5</v>
      </c>
      <c r="E93" s="95">
        <f t="shared" si="83"/>
        <v>2.8800000000000002E-5</v>
      </c>
      <c r="F93" s="95">
        <f t="shared" si="83"/>
        <v>-7.9522279999999999E-8</v>
      </c>
      <c r="G93" s="95">
        <f t="shared" si="83"/>
        <v>2.6100530000000002E-8</v>
      </c>
      <c r="H93" s="95">
        <f t="shared" si="83"/>
        <v>6.0310589599999999E-6</v>
      </c>
      <c r="I93" s="95">
        <f t="shared" si="83"/>
        <v>4.0057962500000004E-6</v>
      </c>
      <c r="J93" s="95">
        <f t="shared" si="83"/>
        <v>-6.4158698400000006E-6</v>
      </c>
      <c r="K93" s="95">
        <f t="shared" si="83"/>
        <v>0</v>
      </c>
      <c r="L93" s="95">
        <f t="shared" si="83"/>
        <v>0</v>
      </c>
      <c r="M93" s="95">
        <f t="shared" si="83"/>
        <v>0</v>
      </c>
      <c r="N93" s="95">
        <f t="shared" si="83"/>
        <v>0</v>
      </c>
      <c r="O93" s="95">
        <f t="shared" si="83"/>
        <v>0</v>
      </c>
      <c r="P93" s="95">
        <f t="shared" si="83"/>
        <v>0</v>
      </c>
      <c r="Q93" s="95">
        <f t="shared" ref="Q93" si="84">Q46/1000000</f>
        <v>0</v>
      </c>
    </row>
    <row r="94" spans="2:17" x14ac:dyDescent="0.25">
      <c r="B94" s="138" t="s">
        <v>135</v>
      </c>
      <c r="D94" s="95">
        <f t="shared" ref="D94:P94" si="85">D47/1000000</f>
        <v>4.5000000000000003E-5</v>
      </c>
      <c r="E94" s="95">
        <f t="shared" si="85"/>
        <v>4.5000000000000003E-5</v>
      </c>
      <c r="F94" s="95">
        <f t="shared" si="85"/>
        <v>4.7489869300000004E-6</v>
      </c>
      <c r="G94" s="95">
        <f t="shared" si="85"/>
        <v>3.2366148600000006E-6</v>
      </c>
      <c r="H94" s="95">
        <f t="shared" si="85"/>
        <v>4.9862819899999984E-6</v>
      </c>
      <c r="I94" s="95">
        <f t="shared" si="85"/>
        <v>4.901987270000003E-6</v>
      </c>
      <c r="J94" s="95">
        <f t="shared" si="85"/>
        <v>3.6570602399999986E-6</v>
      </c>
      <c r="K94" s="95">
        <f t="shared" si="85"/>
        <v>0</v>
      </c>
      <c r="L94" s="95">
        <f t="shared" si="85"/>
        <v>0</v>
      </c>
      <c r="M94" s="95">
        <f t="shared" si="85"/>
        <v>0</v>
      </c>
      <c r="N94" s="95">
        <f t="shared" si="85"/>
        <v>0</v>
      </c>
      <c r="O94" s="95">
        <f t="shared" si="85"/>
        <v>0</v>
      </c>
      <c r="P94" s="95">
        <f t="shared" si="85"/>
        <v>0</v>
      </c>
      <c r="Q94" s="95">
        <f t="shared" ref="Q94" si="86">Q47/1000000</f>
        <v>0</v>
      </c>
    </row>
    <row r="95" spans="2:17" x14ac:dyDescent="0.25">
      <c r="B95" s="138" t="s">
        <v>136</v>
      </c>
      <c r="D95" s="95">
        <f t="shared" ref="D95:P95" si="87">D48/1000000</f>
        <v>2.0000000000000002E-5</v>
      </c>
      <c r="E95" s="95">
        <f t="shared" si="87"/>
        <v>2.0000000000000002E-5</v>
      </c>
      <c r="F95" s="95">
        <f t="shared" si="87"/>
        <v>7.5388895000000004E-7</v>
      </c>
      <c r="G95" s="95">
        <f t="shared" si="87"/>
        <v>7.686294100000001E-7</v>
      </c>
      <c r="H95" s="95">
        <f t="shared" si="87"/>
        <v>1.8006193099999999E-6</v>
      </c>
      <c r="I95" s="95">
        <f t="shared" si="87"/>
        <v>7.9715665000000026E-7</v>
      </c>
      <c r="J95" s="95">
        <f t="shared" si="87"/>
        <v>4.2583063000000008E-6</v>
      </c>
      <c r="K95" s="95">
        <f t="shared" si="87"/>
        <v>0</v>
      </c>
      <c r="L95" s="95">
        <f t="shared" si="87"/>
        <v>0</v>
      </c>
      <c r="M95" s="95">
        <f t="shared" si="87"/>
        <v>0</v>
      </c>
      <c r="N95" s="95">
        <f t="shared" si="87"/>
        <v>0</v>
      </c>
      <c r="O95" s="95">
        <f t="shared" si="87"/>
        <v>0</v>
      </c>
      <c r="P95" s="95">
        <f t="shared" si="87"/>
        <v>0</v>
      </c>
      <c r="Q95" s="95">
        <f t="shared" ref="Q95" si="88">Q48/1000000</f>
        <v>0</v>
      </c>
    </row>
    <row r="96" spans="2:17" ht="15.75" thickBot="1" x14ac:dyDescent="0.3">
      <c r="B96" s="146" t="s">
        <v>137</v>
      </c>
      <c r="D96" s="95">
        <f t="shared" ref="D96:P96" si="89">D49/1000000</f>
        <v>1.5434605665699999E-3</v>
      </c>
      <c r="E96" s="95">
        <f t="shared" si="89"/>
        <v>1.5434605665699999E-3</v>
      </c>
      <c r="F96" s="95">
        <f t="shared" si="89"/>
        <v>-4.793707404E-5</v>
      </c>
      <c r="G96" s="95">
        <f t="shared" si="89"/>
        <v>8.2301053940000006E-5</v>
      </c>
      <c r="H96" s="95">
        <f t="shared" si="89"/>
        <v>1.3875175318E-4</v>
      </c>
      <c r="I96" s="95">
        <f t="shared" si="89"/>
        <v>1.0815211480999997E-4</v>
      </c>
      <c r="J96" s="95">
        <f t="shared" si="89"/>
        <v>2.1553667569000002E-4</v>
      </c>
      <c r="K96" s="95">
        <f t="shared" si="89"/>
        <v>0</v>
      </c>
      <c r="L96" s="95">
        <f t="shared" si="89"/>
        <v>0</v>
      </c>
      <c r="M96" s="95">
        <f t="shared" si="89"/>
        <v>0</v>
      </c>
      <c r="N96" s="95">
        <f t="shared" si="89"/>
        <v>0</v>
      </c>
      <c r="O96" s="95">
        <f t="shared" si="89"/>
        <v>0</v>
      </c>
      <c r="P96" s="95">
        <f t="shared" si="89"/>
        <v>0</v>
      </c>
      <c r="Q96" s="95">
        <f t="shared" ref="Q96" si="90">Q49/1000000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4" sqref="B4"/>
    </sheetView>
  </sheetViews>
  <sheetFormatPr defaultRowHeight="15" x14ac:dyDescent="0.25"/>
  <cols>
    <col min="1" max="1" width="17.28515625" bestFit="1" customWidth="1"/>
    <col min="2" max="2" width="20.5703125" bestFit="1" customWidth="1"/>
  </cols>
  <sheetData>
    <row r="1" spans="1:2" x14ac:dyDescent="0.25">
      <c r="A1" s="1" t="s">
        <v>0</v>
      </c>
      <c r="B1" s="2">
        <v>2026</v>
      </c>
    </row>
    <row r="3" spans="1:2" x14ac:dyDescent="0.25">
      <c r="A3" s="1" t="s">
        <v>4</v>
      </c>
      <c r="B3" t="s">
        <v>84</v>
      </c>
    </row>
    <row r="4" spans="1:2" x14ac:dyDescent="0.25">
      <c r="A4" s="2" t="s">
        <v>82</v>
      </c>
      <c r="B4" s="84">
        <v>31253</v>
      </c>
    </row>
    <row r="5" spans="1:2" x14ac:dyDescent="0.25">
      <c r="A5" s="2" t="s">
        <v>5</v>
      </c>
      <c r="B5" s="3">
        <v>31253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B1" sqref="B1"/>
    </sheetView>
  </sheetViews>
  <sheetFormatPr defaultRowHeight="15" x14ac:dyDescent="0.25"/>
  <cols>
    <col min="1" max="1" width="20.42578125" bestFit="1" customWidth="1"/>
    <col min="2" max="2" width="20.85546875" customWidth="1"/>
    <col min="3" max="4" width="14.140625" bestFit="1" customWidth="1"/>
    <col min="5" max="6" width="14" bestFit="1" customWidth="1"/>
    <col min="7" max="7" width="11.85546875" customWidth="1"/>
    <col min="8" max="8" width="12" bestFit="1" customWidth="1"/>
  </cols>
  <sheetData>
    <row r="1" spans="1:8" x14ac:dyDescent="0.25">
      <c r="A1" s="1" t="s">
        <v>0</v>
      </c>
      <c r="B1" s="2">
        <v>2026</v>
      </c>
    </row>
    <row r="3" spans="1:8" x14ac:dyDescent="0.25">
      <c r="A3" s="1" t="s">
        <v>68</v>
      </c>
      <c r="B3" s="1" t="s">
        <v>6</v>
      </c>
    </row>
    <row r="4" spans="1:8" x14ac:dyDescent="0.25">
      <c r="A4" s="1" t="s">
        <v>4</v>
      </c>
      <c r="B4" t="s">
        <v>69</v>
      </c>
      <c r="C4" t="s">
        <v>70</v>
      </c>
      <c r="D4" t="s">
        <v>72</v>
      </c>
      <c r="E4" t="s">
        <v>75</v>
      </c>
      <c r="F4" t="s">
        <v>76</v>
      </c>
      <c r="G4" t="s">
        <v>5</v>
      </c>
    </row>
    <row r="5" spans="1:8" x14ac:dyDescent="0.25">
      <c r="A5" s="2" t="s">
        <v>35</v>
      </c>
      <c r="B5" s="3">
        <v>340158.2</v>
      </c>
      <c r="C5" s="3">
        <v>17049</v>
      </c>
      <c r="D5" s="3">
        <v>834433.5</v>
      </c>
      <c r="E5" s="3"/>
      <c r="F5" s="3"/>
      <c r="G5" s="3">
        <v>1191640.7</v>
      </c>
      <c r="H5" s="83">
        <f>GETPIVOTDATA("факт",$A$3,"вид","доход")/1000</f>
        <v>1191.6406999999999</v>
      </c>
    </row>
    <row r="6" spans="1:8" x14ac:dyDescent="0.25">
      <c r="A6" s="2" t="s">
        <v>67</v>
      </c>
      <c r="B6" s="3"/>
      <c r="C6" s="3"/>
      <c r="D6" s="3"/>
      <c r="E6" s="3">
        <v>1182508.8999999999</v>
      </c>
      <c r="F6" s="3">
        <v>9131.7999999999993</v>
      </c>
      <c r="G6" s="3">
        <v>1191640.7</v>
      </c>
      <c r="H6" s="83">
        <f>GETPIVOTDATA("факт",$A$3,"вид","расход")/1000</f>
        <v>1191.6406999999999</v>
      </c>
    </row>
    <row r="7" spans="1:8" x14ac:dyDescent="0.25">
      <c r="A7" s="2" t="s">
        <v>5</v>
      </c>
      <c r="B7" s="3">
        <v>340158.2</v>
      </c>
      <c r="C7" s="3">
        <v>17049</v>
      </c>
      <c r="D7" s="3">
        <v>834433.5</v>
      </c>
      <c r="E7" s="3">
        <v>1182508.8999999999</v>
      </c>
      <c r="F7" s="3">
        <v>9131.7999999999993</v>
      </c>
      <c r="G7" s="3">
        <v>2383281.4</v>
      </c>
    </row>
    <row r="11" spans="1:8" x14ac:dyDescent="0.25">
      <c r="A11" s="78"/>
      <c r="B11" s="78" t="s">
        <v>73</v>
      </c>
      <c r="C11" s="78" t="s">
        <v>74</v>
      </c>
      <c r="D11" s="78" t="s">
        <v>34</v>
      </c>
      <c r="E11" s="78" t="s">
        <v>79</v>
      </c>
      <c r="F11" s="78" t="s">
        <v>80</v>
      </c>
    </row>
    <row r="12" spans="1:8" x14ac:dyDescent="0.25">
      <c r="A12" s="78" t="s">
        <v>35</v>
      </c>
      <c r="B12" s="78">
        <f>GETPIVOTDATA("факт",$A$3,"группа","показатель д1","вид","доход")</f>
        <v>340158.2</v>
      </c>
      <c r="C12" s="78">
        <f>GETPIVOTDATA("факт",$A$3,"группа","показатель д2","вид","доход")</f>
        <v>17049</v>
      </c>
      <c r="D12" s="78">
        <f>GETPIVOTDATA("факт",$A$3,"группа","показатель д3","вид","доход")</f>
        <v>834433.5</v>
      </c>
      <c r="E12" s="78"/>
      <c r="F12" s="78"/>
      <c r="G12">
        <f>GETPIVOTDATA("факт",$A$3,"вид","доход")</f>
        <v>1191640.7</v>
      </c>
    </row>
    <row r="13" spans="1:8" x14ac:dyDescent="0.25">
      <c r="A13" s="78" t="s">
        <v>67</v>
      </c>
      <c r="B13" s="78"/>
      <c r="C13" s="78"/>
      <c r="D13" s="78"/>
      <c r="E13" s="78">
        <f>GETPIVOTDATA("факт",$A$3,"группа","показатель р2","вид","расход")</f>
        <v>1182508.8999999999</v>
      </c>
      <c r="F13" s="78">
        <f>GETPIVOTDATA("факт",$A$3,"группа","показатель р3","вид","расход")</f>
        <v>9131.7999999999993</v>
      </c>
      <c r="G13">
        <f>GETPIVOTDATA("факт",$A$3,"вид","доход")</f>
        <v>1191640.7</v>
      </c>
    </row>
    <row r="16" spans="1:8" x14ac:dyDescent="0.25">
      <c r="A16" s="78"/>
      <c r="B16" s="78" t="s">
        <v>73</v>
      </c>
      <c r="C16" s="78" t="s">
        <v>74</v>
      </c>
      <c r="D16" s="78" t="s">
        <v>34</v>
      </c>
      <c r="E16" s="78" t="s">
        <v>79</v>
      </c>
      <c r="F16" s="78" t="s">
        <v>80</v>
      </c>
    </row>
    <row r="17" spans="1:6" x14ac:dyDescent="0.25">
      <c r="A17" s="78" t="s">
        <v>35</v>
      </c>
      <c r="B17" s="79">
        <f>GETPIVOTDATA("факт",$A$3,"группа","показатель д1","вид","доход")/GETPIVOTDATA("факт",$A$3,"вид","доход")</f>
        <v>0.2854536606545916</v>
      </c>
      <c r="C17" s="79">
        <f>GETPIVOTDATA("факт",$A$3,"группа","показатель д2","вид","доход")/GETPIVOTDATA("факт",$A$3,"вид","доход")</f>
        <v>1.4307164902977886E-2</v>
      </c>
      <c r="D17" s="79">
        <f>GETPIVOTDATA("факт",$A$3,"группа","показатель д3","вид","доход")/GETPIVOTDATA("факт",$A$3,"вид","доход")</f>
        <v>0.70023917444243056</v>
      </c>
      <c r="E17" s="79"/>
      <c r="F17" s="79"/>
    </row>
    <row r="18" spans="1:6" x14ac:dyDescent="0.25">
      <c r="A18" s="78" t="s">
        <v>67</v>
      </c>
      <c r="B18" s="79"/>
      <c r="C18" s="79"/>
      <c r="D18" s="79"/>
      <c r="E18" s="79">
        <f>GETPIVOTDATA("факт",$A$3,"группа","показатель р2","вид","расход")/GETPIVOTDATA("факт",$A$3,"вид","расход")</f>
        <v>0.99233678406586812</v>
      </c>
      <c r="F18" s="79">
        <f>GETPIVOTDATA("факт",$A$3,"группа","показатель р3","вид","расход")/GETPIVOTDATA("факт",$A$3,"вид","расход")</f>
        <v>7.6632159341318232E-3</v>
      </c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B1" zoomScaleNormal="100" workbookViewId="0">
      <selection activeCell="L14" sqref="L14:L19"/>
    </sheetView>
  </sheetViews>
  <sheetFormatPr defaultRowHeight="15" x14ac:dyDescent="0.25"/>
  <cols>
    <col min="1" max="1" width="117.140625" customWidth="1"/>
    <col min="2" max="2" width="20.85546875" customWidth="1"/>
    <col min="3" max="3" width="9.5703125" bestFit="1" customWidth="1"/>
    <col min="4" max="6" width="14.140625" bestFit="1" customWidth="1"/>
    <col min="7" max="7" width="11.85546875" bestFit="1" customWidth="1"/>
    <col min="8" max="8" width="14.140625" bestFit="1" customWidth="1"/>
    <col min="9" max="9" width="14" bestFit="1" customWidth="1"/>
    <col min="10" max="10" width="37.7109375" customWidth="1"/>
    <col min="11" max="11" width="14" bestFit="1" customWidth="1"/>
    <col min="12" max="12" width="14.7109375" bestFit="1" customWidth="1"/>
  </cols>
  <sheetData>
    <row r="1" spans="1:12" x14ac:dyDescent="0.25">
      <c r="A1" s="1" t="s">
        <v>0</v>
      </c>
      <c r="B1" s="2">
        <v>2026</v>
      </c>
    </row>
    <row r="3" spans="1:12" x14ac:dyDescent="0.25">
      <c r="A3" s="1" t="s">
        <v>68</v>
      </c>
      <c r="B3" s="1" t="s">
        <v>6</v>
      </c>
    </row>
    <row r="4" spans="1:12" x14ac:dyDescent="0.25">
      <c r="A4" s="1" t="s">
        <v>4</v>
      </c>
      <c r="B4" t="s">
        <v>1</v>
      </c>
      <c r="C4" t="s">
        <v>3</v>
      </c>
      <c r="D4" t="s">
        <v>69</v>
      </c>
      <c r="E4" t="s">
        <v>70</v>
      </c>
      <c r="F4" t="s">
        <v>72</v>
      </c>
      <c r="G4" t="s">
        <v>5</v>
      </c>
    </row>
    <row r="5" spans="1:12" x14ac:dyDescent="0.25">
      <c r="A5" s="90" t="s">
        <v>13</v>
      </c>
      <c r="B5" s="91">
        <v>40337.199999999997</v>
      </c>
      <c r="C5" s="91"/>
      <c r="D5" s="91"/>
      <c r="E5" s="91"/>
      <c r="F5" s="91"/>
      <c r="G5" s="91">
        <v>40337.199999999997</v>
      </c>
      <c r="H5" s="93"/>
      <c r="J5" t="s">
        <v>85</v>
      </c>
    </row>
    <row r="6" spans="1:12" x14ac:dyDescent="0.25">
      <c r="A6" s="90" t="s">
        <v>26</v>
      </c>
      <c r="B6" s="91">
        <v>2520</v>
      </c>
      <c r="C6" s="91"/>
      <c r="D6" s="91"/>
      <c r="E6" s="91"/>
      <c r="F6" s="91"/>
      <c r="G6" s="91">
        <v>2520</v>
      </c>
      <c r="H6" s="93"/>
      <c r="J6" s="97" t="s">
        <v>89</v>
      </c>
      <c r="K6" s="79">
        <f>L6/$L$9</f>
        <v>0.28545366065459166</v>
      </c>
      <c r="L6" s="99">
        <f>GETPIVOTDATA("факт",$A$3,"наименование","НАЛОГОВЫЕ ДОХОДЫ")/1000</f>
        <v>340.15820000000002</v>
      </c>
    </row>
    <row r="7" spans="1:12" x14ac:dyDescent="0.25">
      <c r="A7" s="88" t="s">
        <v>27</v>
      </c>
      <c r="B7" s="89"/>
      <c r="C7" s="89">
        <v>8056</v>
      </c>
      <c r="D7" s="89"/>
      <c r="E7" s="89"/>
      <c r="F7" s="89"/>
      <c r="G7" s="89">
        <v>8056</v>
      </c>
      <c r="J7" s="97" t="s">
        <v>90</v>
      </c>
      <c r="K7" s="79">
        <f t="shared" ref="K7:K8" si="0">L7/$L$9</f>
        <v>1.4307164902977886E-2</v>
      </c>
      <c r="L7" s="99">
        <f>GETPIVOTDATA("факт",$A$3,"наименование","НЕНАЛОГОВЫЕ ДОХОДЫ")/1000</f>
        <v>17.048999999999999</v>
      </c>
    </row>
    <row r="8" spans="1:12" x14ac:dyDescent="0.25">
      <c r="A8" s="88" t="s">
        <v>29</v>
      </c>
      <c r="B8" s="89"/>
      <c r="C8" s="89">
        <v>114</v>
      </c>
      <c r="D8" s="89"/>
      <c r="E8" s="89"/>
      <c r="F8" s="89"/>
      <c r="G8" s="89">
        <v>114</v>
      </c>
      <c r="J8" s="97" t="s">
        <v>95</v>
      </c>
      <c r="K8" s="79">
        <f t="shared" si="0"/>
        <v>0.70023917444243056</v>
      </c>
      <c r="L8" s="99">
        <f>GETPIVOTDATA("факт",$A$3,"наименование","МБТ")/1000</f>
        <v>834.43349999999998</v>
      </c>
    </row>
    <row r="9" spans="1:12" x14ac:dyDescent="0.25">
      <c r="A9" s="88" t="s">
        <v>30</v>
      </c>
      <c r="B9" s="89"/>
      <c r="C9" s="89">
        <v>7000</v>
      </c>
      <c r="D9" s="89"/>
      <c r="E9" s="89"/>
      <c r="F9" s="89"/>
      <c r="G9" s="89">
        <v>7000</v>
      </c>
      <c r="L9" s="84">
        <f>L6+L7+L8</f>
        <v>1191.6406999999999</v>
      </c>
    </row>
    <row r="10" spans="1:12" x14ac:dyDescent="0.25">
      <c r="A10" s="90" t="s">
        <v>16</v>
      </c>
      <c r="B10" s="91"/>
      <c r="C10" s="91"/>
      <c r="D10" s="91"/>
      <c r="E10" s="91"/>
      <c r="F10" s="91"/>
      <c r="G10" s="91"/>
    </row>
    <row r="11" spans="1:12" x14ac:dyDescent="0.25">
      <c r="A11" s="90" t="s">
        <v>17</v>
      </c>
      <c r="B11" s="91"/>
      <c r="C11" s="91"/>
      <c r="D11" s="91"/>
      <c r="E11" s="91"/>
      <c r="F11" s="91"/>
      <c r="G11" s="91"/>
    </row>
    <row r="12" spans="1:12" x14ac:dyDescent="0.25">
      <c r="A12" s="90" t="s">
        <v>36</v>
      </c>
      <c r="B12" s="91">
        <v>0</v>
      </c>
      <c r="C12" s="91"/>
      <c r="D12" s="91"/>
      <c r="E12" s="91"/>
      <c r="F12" s="91"/>
      <c r="G12" s="91">
        <v>0</v>
      </c>
      <c r="H12" s="93"/>
    </row>
    <row r="13" spans="1:12" x14ac:dyDescent="0.25">
      <c r="A13" s="90" t="s">
        <v>22</v>
      </c>
      <c r="B13" s="91"/>
      <c r="C13" s="91"/>
      <c r="D13" s="91"/>
      <c r="E13" s="91"/>
      <c r="F13" s="91"/>
      <c r="G13" s="91"/>
      <c r="J13" t="s">
        <v>89</v>
      </c>
    </row>
    <row r="14" spans="1:12" x14ac:dyDescent="0.25">
      <c r="A14" s="90" t="s">
        <v>23</v>
      </c>
      <c r="B14" s="91"/>
      <c r="C14" s="91"/>
      <c r="D14" s="91"/>
      <c r="E14" s="91"/>
      <c r="F14" s="91"/>
      <c r="G14" s="91"/>
      <c r="J14" s="94" t="s">
        <v>86</v>
      </c>
      <c r="K14" s="92">
        <f>L14/1000</f>
        <v>40.337199999999996</v>
      </c>
      <c r="L14" s="84">
        <f>GETPIVOTDATA("факт",$A$3,"наименование","Акцизы по подакцизным товарам (продукции), производимым на территории Российской Федерации")</f>
        <v>40337.199999999997</v>
      </c>
    </row>
    <row r="15" spans="1:12" x14ac:dyDescent="0.25">
      <c r="A15" s="90" t="s">
        <v>24</v>
      </c>
      <c r="B15" s="91"/>
      <c r="C15" s="91"/>
      <c r="D15" s="91"/>
      <c r="E15" s="91"/>
      <c r="F15" s="91"/>
      <c r="G15" s="91"/>
      <c r="J15" s="94" t="s">
        <v>88</v>
      </c>
      <c r="K15" s="92">
        <f t="shared" ref="K15:K19" si="1">L15/1000</f>
        <v>2.52</v>
      </c>
      <c r="L15" s="84">
        <f>GETPIVOTDATA("факт",$A$3,"наименование","ГОСУДАРСТВЕННАЯ ПОШЛИНА")</f>
        <v>2520</v>
      </c>
    </row>
    <row r="16" spans="1:12" x14ac:dyDescent="0.25">
      <c r="A16" s="86" t="s">
        <v>34</v>
      </c>
      <c r="B16" s="87"/>
      <c r="C16" s="87"/>
      <c r="D16" s="87"/>
      <c r="E16" s="87"/>
      <c r="F16" s="87">
        <v>834433.5</v>
      </c>
      <c r="G16" s="87">
        <v>834433.5</v>
      </c>
      <c r="J16" s="94" t="s">
        <v>25</v>
      </c>
      <c r="K16" s="92">
        <f t="shared" si="1"/>
        <v>1E-3</v>
      </c>
      <c r="L16" s="84">
        <f>GETPIVOTDATA("факт",$A$3,"наименование","Налог на добычу полезных ископаемых")</f>
        <v>1</v>
      </c>
    </row>
    <row r="17" spans="1:12" x14ac:dyDescent="0.25">
      <c r="A17" s="90" t="s">
        <v>25</v>
      </c>
      <c r="B17" s="91">
        <v>1</v>
      </c>
      <c r="C17" s="91"/>
      <c r="D17" s="91"/>
      <c r="E17" s="91"/>
      <c r="F17" s="91"/>
      <c r="G17" s="91">
        <v>1</v>
      </c>
      <c r="H17" s="93"/>
      <c r="J17" s="94" t="s">
        <v>87</v>
      </c>
      <c r="K17" s="92">
        <f t="shared" si="1"/>
        <v>29.9</v>
      </c>
      <c r="L17" s="84">
        <f>GETPIVOTDATA("факт",$A$3,"наименование","НАЛОГИ НА ИМУЩЕСТВО")</f>
        <v>29900</v>
      </c>
    </row>
    <row r="18" spans="1:12" x14ac:dyDescent="0.25">
      <c r="A18" s="90" t="s">
        <v>21</v>
      </c>
      <c r="B18" s="91"/>
      <c r="C18" s="91"/>
      <c r="D18" s="91"/>
      <c r="E18" s="91"/>
      <c r="F18" s="91"/>
      <c r="G18" s="91"/>
      <c r="J18" s="94" t="s">
        <v>190</v>
      </c>
      <c r="K18" s="92">
        <f t="shared" si="1"/>
        <v>11.4</v>
      </c>
      <c r="L18" s="84">
        <f>GETPIVOTDATA("факт",$A$3,"наименование","НАЛОГИ НА СОВОКУПНЫЙ ДОХОД")</f>
        <v>11400</v>
      </c>
    </row>
    <row r="19" spans="1:12" x14ac:dyDescent="0.25">
      <c r="A19" s="90" t="s">
        <v>20</v>
      </c>
      <c r="B19" s="91"/>
      <c r="C19" s="91"/>
      <c r="D19" s="91"/>
      <c r="E19" s="91"/>
      <c r="F19" s="91"/>
      <c r="G19" s="91"/>
      <c r="J19" s="94" t="s">
        <v>2</v>
      </c>
      <c r="K19" s="92">
        <f t="shared" si="1"/>
        <v>256</v>
      </c>
      <c r="L19" s="84">
        <f>GETPIVOTDATA("факт",$A$3,"наименование","НДФЛ")</f>
        <v>256000</v>
      </c>
    </row>
    <row r="20" spans="1:12" x14ac:dyDescent="0.25">
      <c r="A20" s="90" t="s">
        <v>18</v>
      </c>
      <c r="B20" s="91"/>
      <c r="C20" s="91"/>
      <c r="D20" s="91"/>
      <c r="E20" s="91"/>
      <c r="F20" s="91"/>
      <c r="G20" s="91"/>
      <c r="J20" s="94" t="s">
        <v>189</v>
      </c>
      <c r="K20" s="92" t="e">
        <f t="shared" ref="K20" si="2">L20/1000</f>
        <v>#REF!</v>
      </c>
      <c r="L20" s="84" t="e">
        <f>GETPIVOTDATA("факт",$A$3,"наименование","Налоги, сборы и регулярные платежи за пользование природными ресурсами")</f>
        <v>#REF!</v>
      </c>
    </row>
    <row r="21" spans="1:12" x14ac:dyDescent="0.25">
      <c r="A21" s="90" t="s">
        <v>15</v>
      </c>
      <c r="B21" s="91"/>
      <c r="C21" s="91"/>
      <c r="D21" s="91"/>
      <c r="E21" s="91"/>
      <c r="F21" s="91"/>
      <c r="G21" s="91"/>
      <c r="K21" s="95"/>
      <c r="L21" s="95"/>
    </row>
    <row r="22" spans="1:12" x14ac:dyDescent="0.25">
      <c r="A22" s="90" t="s">
        <v>19</v>
      </c>
      <c r="B22" s="91">
        <v>29900</v>
      </c>
      <c r="C22" s="91"/>
      <c r="D22" s="91"/>
      <c r="E22" s="91"/>
      <c r="F22" s="91"/>
      <c r="G22" s="91">
        <v>29900</v>
      </c>
      <c r="H22" s="93"/>
      <c r="J22" s="96" t="s">
        <v>90</v>
      </c>
      <c r="K22" s="95"/>
      <c r="L22" s="95"/>
    </row>
    <row r="23" spans="1:12" x14ac:dyDescent="0.25">
      <c r="A23" s="90" t="s">
        <v>14</v>
      </c>
      <c r="B23" s="91">
        <v>11400</v>
      </c>
      <c r="C23" s="91"/>
      <c r="D23" s="91"/>
      <c r="E23" s="91"/>
      <c r="F23" s="91"/>
      <c r="G23" s="91">
        <v>11400</v>
      </c>
      <c r="H23" s="93"/>
      <c r="J23" s="88" t="s">
        <v>91</v>
      </c>
      <c r="K23" s="92">
        <f>L23/1000</f>
        <v>8.0559999999999992</v>
      </c>
      <c r="L23" s="84">
        <f>GETPIVOTDATA("факт",$A$3,"наименование","ДОХОДЫ ОТ ИСПОЛЬЗОВАНИЯ ИМУЩЕСТВА, НАХОДЯЩЕГОСЯ В ГОСУДАРСТВЕННОЙ И МУНИЦИПАЛЬНОЙ СОБСТВЕННОСТИ")</f>
        <v>8056</v>
      </c>
    </row>
    <row r="24" spans="1:12" x14ac:dyDescent="0.25">
      <c r="A24" s="86" t="s">
        <v>37</v>
      </c>
      <c r="B24" s="87"/>
      <c r="C24" s="87"/>
      <c r="D24" s="87">
        <v>340158.2</v>
      </c>
      <c r="E24" s="87"/>
      <c r="F24" s="87"/>
      <c r="G24" s="87">
        <v>340158.2</v>
      </c>
      <c r="J24" s="88" t="s">
        <v>122</v>
      </c>
      <c r="K24" s="92">
        <f t="shared" ref="K24:K26" si="3">L24/1000</f>
        <v>0.114</v>
      </c>
      <c r="L24" s="84">
        <f>GETPIVOTDATA("факт",$A$3,"наименование","ДОХОДЫ ОТ ОКАЗАНИЯ ПЛАТНЫХ УСЛУГ И КОМПЕНСАЦИИ ЗАТРАТ ГОСУДАРСТВА")</f>
        <v>114</v>
      </c>
    </row>
    <row r="25" spans="1:12" x14ac:dyDescent="0.25">
      <c r="A25" s="90" t="s">
        <v>2</v>
      </c>
      <c r="B25" s="91">
        <v>256000</v>
      </c>
      <c r="C25" s="91"/>
      <c r="D25" s="91"/>
      <c r="E25" s="91"/>
      <c r="F25" s="91"/>
      <c r="G25" s="91">
        <v>256000</v>
      </c>
      <c r="H25" s="93"/>
      <c r="J25" s="88" t="s">
        <v>92</v>
      </c>
      <c r="K25" s="92">
        <f t="shared" si="3"/>
        <v>7</v>
      </c>
      <c r="L25" s="84">
        <f>GETPIVOTDATA("факт",$A$3,"наименование","ДОХОДЫ ОТ ПРОДАЖИ МАТЕРИАЛЬНЫХ И НЕМАТЕРИАЛЬНЫХ АКТИВОВ")</f>
        <v>7000</v>
      </c>
    </row>
    <row r="26" spans="1:12" x14ac:dyDescent="0.25">
      <c r="A26" s="86" t="s">
        <v>38</v>
      </c>
      <c r="B26" s="87"/>
      <c r="C26" s="87"/>
      <c r="D26" s="87"/>
      <c r="E26" s="87">
        <v>17049</v>
      </c>
      <c r="F26" s="87"/>
      <c r="G26" s="87">
        <v>17049</v>
      </c>
      <c r="J26" s="88" t="s">
        <v>93</v>
      </c>
      <c r="K26" s="92">
        <f t="shared" si="3"/>
        <v>0.27900000000000003</v>
      </c>
      <c r="L26" s="84">
        <f>GETPIVOTDATA("факт",$A$3,"наименование","ПЛАТЕЖИ ПРИ ПОЛЬЗОВАНИИ ПРИРОДНЫМИ РЕСУРСАМИ")</f>
        <v>279</v>
      </c>
    </row>
    <row r="27" spans="1:12" x14ac:dyDescent="0.25">
      <c r="A27" s="88" t="s">
        <v>28</v>
      </c>
      <c r="B27" s="89"/>
      <c r="C27" s="89">
        <v>279</v>
      </c>
      <c r="D27" s="89"/>
      <c r="E27" s="89"/>
      <c r="F27" s="89"/>
      <c r="G27" s="89">
        <v>279</v>
      </c>
      <c r="J27" s="88" t="s">
        <v>94</v>
      </c>
      <c r="K27" s="92">
        <f>L28/1000</f>
        <v>1.6</v>
      </c>
      <c r="L27" s="84">
        <f>GETPIVOTDATA("факт",$A$3,"наименование","ПРОЧИЕ НЕНАЛОГОВЫЕ ДОХОДЫ")</f>
        <v>0</v>
      </c>
    </row>
    <row r="28" spans="1:12" x14ac:dyDescent="0.25">
      <c r="A28" s="88" t="s">
        <v>32</v>
      </c>
      <c r="B28" s="89"/>
      <c r="C28" s="89">
        <v>0</v>
      </c>
      <c r="D28" s="89"/>
      <c r="E28" s="89"/>
      <c r="F28" s="89"/>
      <c r="G28" s="89">
        <v>0</v>
      </c>
      <c r="J28" s="88" t="s">
        <v>191</v>
      </c>
      <c r="K28" s="92">
        <f>L27/1000</f>
        <v>0</v>
      </c>
      <c r="L28" s="84">
        <f>GETPIVOTDATA("факт",$A$3,"наименование","ШТРАФЫ, САНКЦИИ, ВОЗМЕЩЕНИЕ УЩЕРБА")</f>
        <v>1600</v>
      </c>
    </row>
    <row r="29" spans="1:12" x14ac:dyDescent="0.25">
      <c r="A29" s="88" t="s">
        <v>31</v>
      </c>
      <c r="B29" s="89"/>
      <c r="C29" s="89">
        <v>1600</v>
      </c>
      <c r="D29" s="89"/>
      <c r="E29" s="89"/>
      <c r="F29" s="89"/>
      <c r="G29" s="89">
        <v>1600</v>
      </c>
    </row>
    <row r="30" spans="1:12" x14ac:dyDescent="0.25">
      <c r="A30" s="86" t="s">
        <v>5</v>
      </c>
      <c r="B30" s="87">
        <v>340158.2</v>
      </c>
      <c r="C30" s="87">
        <v>17049</v>
      </c>
      <c r="D30" s="87">
        <v>340158.2</v>
      </c>
      <c r="E30" s="87">
        <v>17049</v>
      </c>
      <c r="F30" s="87">
        <v>834433.5</v>
      </c>
      <c r="G30" s="87">
        <v>1548847.9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13" zoomScale="70" zoomScaleNormal="70" workbookViewId="0">
      <selection activeCell="A57" sqref="A57"/>
    </sheetView>
  </sheetViews>
  <sheetFormatPr defaultRowHeight="15" x14ac:dyDescent="0.25"/>
  <cols>
    <col min="1" max="1" width="53.5703125" customWidth="1"/>
    <col min="2" max="2" width="21.7109375" customWidth="1"/>
    <col min="3" max="3" width="12.140625" customWidth="1"/>
    <col min="4" max="5" width="12.5703125" bestFit="1" customWidth="1"/>
    <col min="6" max="8" width="14.140625" bestFit="1" customWidth="1"/>
    <col min="9" max="11" width="14" bestFit="1" customWidth="1"/>
    <col min="12" max="13" width="12.5703125" bestFit="1" customWidth="1"/>
  </cols>
  <sheetData>
    <row r="1" spans="1:3" x14ac:dyDescent="0.25">
      <c r="A1" s="1" t="s">
        <v>0</v>
      </c>
      <c r="B1" s="2">
        <v>2026</v>
      </c>
    </row>
    <row r="3" spans="1:3" x14ac:dyDescent="0.25">
      <c r="A3" s="1" t="s">
        <v>68</v>
      </c>
      <c r="B3" s="1" t="s">
        <v>6</v>
      </c>
    </row>
    <row r="4" spans="1:3" x14ac:dyDescent="0.25">
      <c r="A4" s="1" t="s">
        <v>4</v>
      </c>
      <c r="B4" t="s">
        <v>7</v>
      </c>
      <c r="C4" t="s">
        <v>5</v>
      </c>
    </row>
    <row r="5" spans="1:3" x14ac:dyDescent="0.25">
      <c r="A5" s="2" t="s">
        <v>47</v>
      </c>
      <c r="B5" s="3">
        <v>48539.6</v>
      </c>
      <c r="C5" s="3">
        <v>48539.6</v>
      </c>
    </row>
    <row r="6" spans="1:3" x14ac:dyDescent="0.25">
      <c r="A6" s="2" t="s">
        <v>41</v>
      </c>
      <c r="B6" s="3">
        <v>17502.7</v>
      </c>
      <c r="C6" s="3">
        <v>17502.7</v>
      </c>
    </row>
    <row r="7" spans="1:3" x14ac:dyDescent="0.25">
      <c r="A7" s="2" t="s">
        <v>43</v>
      </c>
      <c r="B7" s="3">
        <v>82008.899999999994</v>
      </c>
      <c r="C7" s="3">
        <v>82008.899999999994</v>
      </c>
    </row>
    <row r="8" spans="1:3" x14ac:dyDescent="0.25">
      <c r="A8" s="2" t="s">
        <v>40</v>
      </c>
      <c r="B8" s="3">
        <v>110435.4</v>
      </c>
      <c r="C8" s="3">
        <v>110435.4</v>
      </c>
    </row>
    <row r="9" spans="1:3" x14ac:dyDescent="0.25">
      <c r="A9" s="2" t="s">
        <v>42</v>
      </c>
      <c r="B9" s="3">
        <v>797977.7</v>
      </c>
      <c r="C9" s="3">
        <v>797977.7</v>
      </c>
    </row>
    <row r="10" spans="1:3" x14ac:dyDescent="0.25">
      <c r="A10" s="2" t="s">
        <v>39</v>
      </c>
      <c r="B10" s="3">
        <v>124668.1</v>
      </c>
      <c r="C10" s="3">
        <v>124668.1</v>
      </c>
    </row>
    <row r="11" spans="1:3" x14ac:dyDescent="0.25">
      <c r="A11" s="2" t="s">
        <v>44</v>
      </c>
      <c r="B11" s="3">
        <v>6976</v>
      </c>
      <c r="C11" s="3">
        <v>6976</v>
      </c>
    </row>
    <row r="12" spans="1:3" x14ac:dyDescent="0.25">
      <c r="A12" s="2" t="s">
        <v>45</v>
      </c>
      <c r="B12" s="3">
        <v>3532.3</v>
      </c>
      <c r="C12" s="3">
        <v>3532.3</v>
      </c>
    </row>
    <row r="13" spans="1:3" x14ac:dyDescent="0.25">
      <c r="A13" s="2" t="s">
        <v>207</v>
      </c>
      <c r="B13" s="3">
        <v>0</v>
      </c>
      <c r="C13" s="3">
        <v>0</v>
      </c>
    </row>
    <row r="14" spans="1:3" x14ac:dyDescent="0.25">
      <c r="A14" s="2" t="s">
        <v>210</v>
      </c>
      <c r="B14" s="3">
        <v>2026</v>
      </c>
      <c r="C14" s="3">
        <v>2026</v>
      </c>
    </row>
    <row r="15" spans="1:3" x14ac:dyDescent="0.25">
      <c r="A15" s="2" t="s">
        <v>213</v>
      </c>
      <c r="B15" s="3">
        <v>114015</v>
      </c>
      <c r="C15" s="3">
        <v>114015</v>
      </c>
    </row>
    <row r="16" spans="1:3" x14ac:dyDescent="0.25">
      <c r="A16" s="2" t="s">
        <v>5</v>
      </c>
      <c r="B16" s="3">
        <v>1307681.7000000002</v>
      </c>
      <c r="C16" s="3">
        <v>1307681.7000000002</v>
      </c>
    </row>
    <row r="17" spans="1:6" x14ac:dyDescent="0.25">
      <c r="A17" s="86" t="s">
        <v>96</v>
      </c>
      <c r="B17" s="102">
        <f>C17/$C$29</f>
        <v>0.10461886707964908</v>
      </c>
      <c r="C17" s="101">
        <f t="shared" ref="C17:C28" si="0">D17/1000</f>
        <v>124.66810000000001</v>
      </c>
      <c r="D17" s="103">
        <f>GETPIVOTDATA("факт",$A$3,"группа","РзПр","наименование","ОБЩЕГОСУДАРСТВЕННЫЕ ВОПРОСЫ")</f>
        <v>124668.1</v>
      </c>
      <c r="E17">
        <v>1</v>
      </c>
      <c r="F17" s="95"/>
    </row>
    <row r="18" spans="1:6" x14ac:dyDescent="0.25">
      <c r="A18" s="86" t="s">
        <v>208</v>
      </c>
      <c r="B18" s="102"/>
      <c r="C18" s="101"/>
      <c r="D18" s="103"/>
      <c r="F18" s="99">
        <f>GETPIVOTDATA("факт",$A$3,"группа","РзПр","наименование","ОБЩЕГОСУДАРСТВЕННЫЕ ВОПРОСЫ1")</f>
        <v>0</v>
      </c>
    </row>
    <row r="19" spans="1:6" x14ac:dyDescent="0.25">
      <c r="A19" s="86" t="s">
        <v>211</v>
      </c>
      <c r="B19" s="102"/>
      <c r="C19" s="101"/>
      <c r="D19" s="103"/>
      <c r="F19" s="194">
        <f>GETPIVOTDATA("факт",$A$3,"группа","РзПр","наименование","ОБЩЕГОСУДАРСТВЕННЫЕ ВОПРОСЫ2")</f>
        <v>2026</v>
      </c>
    </row>
    <row r="20" spans="1:6" x14ac:dyDescent="0.25">
      <c r="A20" s="86" t="s">
        <v>97</v>
      </c>
      <c r="B20" s="102">
        <f>C20/$C$29</f>
        <v>9.2675082346549573E-2</v>
      </c>
      <c r="C20" s="101">
        <f t="shared" si="0"/>
        <v>110.43539999999999</v>
      </c>
      <c r="D20" s="103">
        <f>GETPIVOTDATA("факт",$A$3,"группа","РзПр","наименование","НАЦИОНАЛЬНАЯ ЭКОНОМИКА")</f>
        <v>110435.4</v>
      </c>
      <c r="E20">
        <v>4</v>
      </c>
      <c r="F20" s="95"/>
    </row>
    <row r="21" spans="1:6" x14ac:dyDescent="0.25">
      <c r="A21" s="86" t="s">
        <v>212</v>
      </c>
      <c r="B21" s="102"/>
      <c r="C21" s="101"/>
      <c r="D21" s="103"/>
      <c r="E21">
        <v>4</v>
      </c>
      <c r="F21" s="99">
        <f>GETPIVOTDATA("факт",$A$3,"группа","РзПр","наименование","НАЦИОНАЛЬНАЯ ЭКОНОМИКА1")</f>
        <v>114015</v>
      </c>
    </row>
    <row r="22" spans="1:6" x14ac:dyDescent="0.25">
      <c r="A22" s="86" t="s">
        <v>214</v>
      </c>
      <c r="B22" s="102"/>
      <c r="C22" s="101"/>
      <c r="D22" s="103"/>
      <c r="F22" s="194" t="e">
        <f>GETPIVOTDATA("факт",$A$3,"группа","РзПр","наименование","НАЦИОНАЛЬНАЯ ЭКОНОМИКА2")</f>
        <v>#REF!</v>
      </c>
    </row>
    <row r="23" spans="1:6" x14ac:dyDescent="0.25">
      <c r="A23" s="86" t="s">
        <v>121</v>
      </c>
      <c r="B23" s="102">
        <f t="shared" ref="B23:B28" si="1">C23/$C$29</f>
        <v>1.4687900472013082E-2</v>
      </c>
      <c r="C23" s="101">
        <f t="shared" si="0"/>
        <v>17.502700000000001</v>
      </c>
      <c r="D23" s="103">
        <f>GETPIVOTDATA("факт",$A$3,"группа","РзПр","наименование","ЖИЛИЩНО-КОММУНАЛЬНОЕ ХОЗЯЙСТВО")</f>
        <v>17502.7</v>
      </c>
      <c r="E23">
        <v>5</v>
      </c>
      <c r="F23" s="95"/>
    </row>
    <row r="24" spans="1:6" x14ac:dyDescent="0.25">
      <c r="A24" s="86" t="s">
        <v>98</v>
      </c>
      <c r="B24" s="102">
        <f t="shared" si="1"/>
        <v>0.66964622809543162</v>
      </c>
      <c r="C24" s="101">
        <f t="shared" si="0"/>
        <v>797.97769999999991</v>
      </c>
      <c r="D24" s="103">
        <f>GETPIVOTDATA("факт",$A$3,"группа","РзПр","наименование","ОБРАЗОВАНИЕ")</f>
        <v>797977.7</v>
      </c>
      <c r="E24">
        <v>7</v>
      </c>
      <c r="F24" s="198"/>
    </row>
    <row r="25" spans="1:6" x14ac:dyDescent="0.25">
      <c r="A25" s="86" t="s">
        <v>99</v>
      </c>
      <c r="B25" s="102">
        <f t="shared" si="1"/>
        <v>6.8820156948315031E-2</v>
      </c>
      <c r="C25" s="101">
        <f t="shared" si="0"/>
        <v>82.008899999999997</v>
      </c>
      <c r="D25" s="103">
        <f>GETPIVOTDATA("факт",$A$3,"группа","РзПр","наименование","КУЛЬТУРА, КИНЕМАТОГРАФИЯ")</f>
        <v>82008.899999999994</v>
      </c>
      <c r="E25">
        <v>8</v>
      </c>
      <c r="F25" s="198"/>
    </row>
    <row r="26" spans="1:6" x14ac:dyDescent="0.25">
      <c r="A26" s="86" t="s">
        <v>100</v>
      </c>
      <c r="B26" s="102">
        <f t="shared" si="1"/>
        <v>5.8541135763489774E-3</v>
      </c>
      <c r="C26" s="101">
        <f t="shared" si="0"/>
        <v>6.976</v>
      </c>
      <c r="D26" s="103">
        <f>GETPIVOTDATA("факт",$A$3,"группа","РзПр","наименование","СОЦИАЛЬНАЯ ПОЛИТИКА")</f>
        <v>6976</v>
      </c>
      <c r="E26">
        <v>10</v>
      </c>
      <c r="F26" s="198"/>
    </row>
    <row r="27" spans="1:6" x14ac:dyDescent="0.25">
      <c r="A27" s="86" t="s">
        <v>101</v>
      </c>
      <c r="B27" s="102">
        <f t="shared" si="1"/>
        <v>2.964232423414205E-3</v>
      </c>
      <c r="C27" s="101">
        <f t="shared" si="0"/>
        <v>3.5323000000000002</v>
      </c>
      <c r="D27" s="103">
        <f>GETPIVOTDATA("факт",$A$3,"группа","РзПр","наименование","ФИЗИЧЕСКАЯ КУЛЬТУРА И СПОРТ")</f>
        <v>3532.3</v>
      </c>
      <c r="E27">
        <v>11</v>
      </c>
      <c r="F27" s="198"/>
    </row>
    <row r="28" spans="1:6" x14ac:dyDescent="0.25">
      <c r="A28" s="86" t="s">
        <v>200</v>
      </c>
      <c r="B28" s="102">
        <f t="shared" si="1"/>
        <v>4.0733419058278215E-2</v>
      </c>
      <c r="C28" s="101">
        <f t="shared" si="0"/>
        <v>48.5396</v>
      </c>
      <c r="D28" s="103">
        <f>GETPIVOTDATA("факт",$A$3,"группа","РзПр","наименование","Другое (ОХРАНА ОКРУЖАЮЩЕЙ СРЕДЫ, СМИ, НАЦ.БЕЗ)")</f>
        <v>48539.6</v>
      </c>
      <c r="E28">
        <v>12</v>
      </c>
      <c r="F28" s="95"/>
    </row>
    <row r="29" spans="1:6" x14ac:dyDescent="0.25">
      <c r="C29" s="100">
        <f>SUM(C17:C28)</f>
        <v>1191.6407000000002</v>
      </c>
    </row>
    <row r="31" spans="1:6" x14ac:dyDescent="0.25">
      <c r="A31">
        <v>2016</v>
      </c>
      <c r="F31">
        <v>95502.2</v>
      </c>
    </row>
    <row r="32" spans="1:6" x14ac:dyDescent="0.25">
      <c r="A32">
        <v>2017</v>
      </c>
      <c r="F32">
        <v>50689.4</v>
      </c>
    </row>
    <row r="33" spans="1:6" x14ac:dyDescent="0.25">
      <c r="A33">
        <v>2018</v>
      </c>
      <c r="F33">
        <v>48117.7</v>
      </c>
    </row>
    <row r="34" spans="1:6" x14ac:dyDescent="0.25">
      <c r="A34">
        <v>2019</v>
      </c>
      <c r="F34">
        <v>63487.7</v>
      </c>
    </row>
    <row r="35" spans="1:6" x14ac:dyDescent="0.25">
      <c r="A35">
        <v>2020</v>
      </c>
      <c r="F35">
        <v>61887.7</v>
      </c>
    </row>
    <row r="36" spans="1:6" x14ac:dyDescent="0.25">
      <c r="A36">
        <v>2021</v>
      </c>
      <c r="F36">
        <v>70587.7</v>
      </c>
    </row>
    <row r="37" spans="1:6" x14ac:dyDescent="0.25">
      <c r="A37">
        <v>2022</v>
      </c>
      <c r="F37">
        <v>82587.7</v>
      </c>
    </row>
    <row r="38" spans="1:6" x14ac:dyDescent="0.25">
      <c r="A38">
        <v>2023</v>
      </c>
      <c r="F38">
        <v>82587.7</v>
      </c>
    </row>
    <row r="39" spans="1:6" x14ac:dyDescent="0.25">
      <c r="A39">
        <v>2024</v>
      </c>
      <c r="F39">
        <v>114015</v>
      </c>
    </row>
    <row r="40" spans="1:6" x14ac:dyDescent="0.25">
      <c r="A40">
        <v>2025</v>
      </c>
      <c r="F40">
        <v>114015</v>
      </c>
    </row>
    <row r="41" spans="1:6" x14ac:dyDescent="0.25">
      <c r="A41">
        <v>2026</v>
      </c>
      <c r="F41">
        <v>114015</v>
      </c>
    </row>
  </sheetData>
  <sortState ref="A16:E23">
    <sortCondition ref="E16:E23"/>
  </sortState>
  <mergeCells count="1">
    <mergeCell ref="F24:F27"/>
  </mergeCell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zoomScale="70" zoomScaleNormal="70" workbookViewId="0">
      <selection activeCell="C28" sqref="C28:C42"/>
    </sheetView>
  </sheetViews>
  <sheetFormatPr defaultRowHeight="15" x14ac:dyDescent="0.25"/>
  <cols>
    <col min="1" max="1" width="208.42578125" customWidth="1"/>
    <col min="2" max="2" width="21.7109375" customWidth="1"/>
    <col min="3" max="3" width="12.140625" customWidth="1"/>
    <col min="4" max="5" width="12.5703125" bestFit="1" customWidth="1"/>
    <col min="6" max="8" width="14.140625" bestFit="1" customWidth="1"/>
    <col min="9" max="11" width="14" bestFit="1" customWidth="1"/>
    <col min="12" max="13" width="12.5703125" bestFit="1" customWidth="1"/>
  </cols>
  <sheetData>
    <row r="1" spans="1:3" x14ac:dyDescent="0.25">
      <c r="A1" s="1" t="s">
        <v>0</v>
      </c>
      <c r="B1" s="2">
        <v>2026</v>
      </c>
    </row>
    <row r="3" spans="1:3" x14ac:dyDescent="0.25">
      <c r="A3" s="1" t="s">
        <v>68</v>
      </c>
      <c r="B3" s="1" t="s">
        <v>6</v>
      </c>
    </row>
    <row r="4" spans="1:3" x14ac:dyDescent="0.25">
      <c r="A4" s="1" t="s">
        <v>4</v>
      </c>
      <c r="B4" t="s">
        <v>48</v>
      </c>
      <c r="C4" t="s">
        <v>5</v>
      </c>
    </row>
    <row r="5" spans="1:3" x14ac:dyDescent="0.25">
      <c r="A5" s="2" t="s">
        <v>103</v>
      </c>
      <c r="B5" s="3">
        <v>799848.5</v>
      </c>
      <c r="C5" s="3">
        <v>799848.5</v>
      </c>
    </row>
    <row r="6" spans="1:3" x14ac:dyDescent="0.25">
      <c r="A6" s="2" t="s">
        <v>104</v>
      </c>
      <c r="B6" s="3">
        <v>3532.3</v>
      </c>
      <c r="C6" s="3">
        <v>3532.3</v>
      </c>
    </row>
    <row r="7" spans="1:3" x14ac:dyDescent="0.25">
      <c r="A7" s="2" t="s">
        <v>108</v>
      </c>
      <c r="B7" s="3">
        <v>81708.899999999994</v>
      </c>
      <c r="C7" s="3">
        <v>81708.899999999994</v>
      </c>
    </row>
    <row r="8" spans="1:3" x14ac:dyDescent="0.25">
      <c r="A8" s="2" t="s">
        <v>109</v>
      </c>
      <c r="B8" s="3">
        <v>4003.7</v>
      </c>
      <c r="C8" s="3">
        <v>4003.7</v>
      </c>
    </row>
    <row r="9" spans="1:3" x14ac:dyDescent="0.25">
      <c r="A9" s="2" t="s">
        <v>110</v>
      </c>
      <c r="B9" s="3">
        <v>3330</v>
      </c>
      <c r="C9" s="3">
        <v>3330</v>
      </c>
    </row>
    <row r="10" spans="1:3" x14ac:dyDescent="0.25">
      <c r="A10" s="2" t="s">
        <v>105</v>
      </c>
      <c r="B10" s="3">
        <v>11550.9</v>
      </c>
      <c r="C10" s="3">
        <v>11550.9</v>
      </c>
    </row>
    <row r="11" spans="1:3" s="98" customFormat="1" x14ac:dyDescent="0.25">
      <c r="A11" s="207" t="s">
        <v>102</v>
      </c>
      <c r="B11" s="206">
        <v>0</v>
      </c>
      <c r="C11" s="206">
        <v>0</v>
      </c>
    </row>
    <row r="12" spans="1:3" x14ac:dyDescent="0.25">
      <c r="A12" s="2" t="s">
        <v>111</v>
      </c>
      <c r="B12" s="3">
        <v>122273.1</v>
      </c>
      <c r="C12" s="3">
        <v>122273.1</v>
      </c>
    </row>
    <row r="13" spans="1:3" x14ac:dyDescent="0.25">
      <c r="A13" s="2" t="s">
        <v>106</v>
      </c>
      <c r="B13" s="3">
        <v>125</v>
      </c>
      <c r="C13" s="3">
        <v>125</v>
      </c>
    </row>
    <row r="14" spans="1:3" x14ac:dyDescent="0.25">
      <c r="A14" s="2" t="s">
        <v>112</v>
      </c>
      <c r="B14" s="3">
        <v>154975.5</v>
      </c>
      <c r="C14" s="3">
        <v>154975.5</v>
      </c>
    </row>
    <row r="15" spans="1:3" x14ac:dyDescent="0.25">
      <c r="A15" s="2" t="s">
        <v>113</v>
      </c>
      <c r="B15" s="3">
        <v>653</v>
      </c>
      <c r="C15" s="3">
        <v>653</v>
      </c>
    </row>
    <row r="16" spans="1:3" x14ac:dyDescent="0.25">
      <c r="A16" s="2" t="s">
        <v>56</v>
      </c>
      <c r="B16" s="3">
        <v>363</v>
      </c>
      <c r="C16" s="3">
        <v>363</v>
      </c>
    </row>
    <row r="17" spans="1:3" x14ac:dyDescent="0.25">
      <c r="A17" s="2" t="s">
        <v>107</v>
      </c>
      <c r="B17" s="3">
        <v>10</v>
      </c>
      <c r="C17" s="3">
        <v>10</v>
      </c>
    </row>
    <row r="18" spans="1:3" x14ac:dyDescent="0.25">
      <c r="A18" s="2" t="s">
        <v>114</v>
      </c>
      <c r="B18" s="3">
        <v>85</v>
      </c>
      <c r="C18" s="3">
        <v>85</v>
      </c>
    </row>
    <row r="19" spans="1:3" x14ac:dyDescent="0.25">
      <c r="A19" s="2" t="s">
        <v>115</v>
      </c>
      <c r="B19" s="3">
        <v>50</v>
      </c>
      <c r="C19" s="3">
        <v>50</v>
      </c>
    </row>
    <row r="20" spans="1:3" x14ac:dyDescent="0.25">
      <c r="A20" s="2" t="s">
        <v>116</v>
      </c>
      <c r="B20" s="3">
        <v>0</v>
      </c>
      <c r="C20" s="3">
        <v>0</v>
      </c>
    </row>
    <row r="21" spans="1:3" x14ac:dyDescent="0.25">
      <c r="A21" s="2" t="s">
        <v>215</v>
      </c>
      <c r="B21" s="3">
        <v>0</v>
      </c>
      <c r="C21" s="3">
        <v>0</v>
      </c>
    </row>
    <row r="22" spans="1:3" x14ac:dyDescent="0.25">
      <c r="A22" s="2" t="s">
        <v>216</v>
      </c>
      <c r="B22" s="3">
        <v>0</v>
      </c>
      <c r="C22" s="3">
        <v>0</v>
      </c>
    </row>
    <row r="23" spans="1:3" x14ac:dyDescent="0.25">
      <c r="A23" s="2" t="s">
        <v>5</v>
      </c>
      <c r="B23" s="3">
        <v>1182508.8999999999</v>
      </c>
      <c r="C23" s="3">
        <v>1182508.8999999999</v>
      </c>
    </row>
    <row r="27" spans="1:3" x14ac:dyDescent="0.25">
      <c r="A27" s="78" t="s">
        <v>117</v>
      </c>
      <c r="B27" s="78" t="s">
        <v>118</v>
      </c>
    </row>
    <row r="28" spans="1:3" x14ac:dyDescent="0.25">
      <c r="A28" s="86" t="s">
        <v>103</v>
      </c>
      <c r="B28" s="99">
        <f>C28/1000</f>
        <v>799.84849999999994</v>
      </c>
      <c r="C28" s="78">
        <f>GETPIVOTDATA("факт",$A$3,"группа","МП","наименование","Адресная программа  по переселению граждан из аварийного жилищного фонда")</f>
        <v>799848.5</v>
      </c>
    </row>
    <row r="29" spans="1:3" x14ac:dyDescent="0.25">
      <c r="A29" s="86" t="s">
        <v>104</v>
      </c>
      <c r="B29" s="99">
        <f t="shared" ref="B29:B42" si="0">C29/1000</f>
        <v>3.5323000000000002</v>
      </c>
      <c r="C29" s="78">
        <f>GETPIVOTDATA("факт",$A$3,"группа","МП","наименование","Модернизация и реформирование жилищно-коммунального хозяйства ")</f>
        <v>3532.3</v>
      </c>
    </row>
    <row r="30" spans="1:3" x14ac:dyDescent="0.25">
      <c r="A30" s="86" t="s">
        <v>108</v>
      </c>
      <c r="B30" s="99">
        <f t="shared" si="0"/>
        <v>81.7089</v>
      </c>
      <c r="C30" s="78">
        <f>GETPIVOTDATA("факт",$A$3,"группа","МП","наименование","Обеспечение жильем детей 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 ")</f>
        <v>81708.899999999994</v>
      </c>
    </row>
    <row r="31" spans="1:3" x14ac:dyDescent="0.25">
      <c r="A31" s="86" t="s">
        <v>109</v>
      </c>
      <c r="B31" s="99">
        <f t="shared" si="0"/>
        <v>4.0037000000000003</v>
      </c>
      <c r="C31" s="78">
        <f>GETPIVOTDATA("факт",$A$3,"группа","МП","наименование","Обеспечение общественной безопасности ")</f>
        <v>4003.7</v>
      </c>
    </row>
    <row r="32" spans="1:3" x14ac:dyDescent="0.25">
      <c r="A32" s="86" t="s">
        <v>110</v>
      </c>
      <c r="B32" s="99">
        <f t="shared" si="0"/>
        <v>3.33</v>
      </c>
      <c r="C32" s="78">
        <f>GETPIVOTDATA("факт",$A$3,"группа","МП","наименование","Поддержка малого и среднего предпринимательства ")</f>
        <v>3330</v>
      </c>
    </row>
    <row r="33" spans="1:3" x14ac:dyDescent="0.25">
      <c r="A33" s="86" t="s">
        <v>105</v>
      </c>
      <c r="B33" s="99">
        <f t="shared" si="0"/>
        <v>11.5509</v>
      </c>
      <c r="C33" s="78">
        <f>GETPIVOTDATA("факт",$A$3,"группа","МП","наименование","Пподдержка молодых семей , нуждающихся в улучшении жилищных условий")</f>
        <v>11550.9</v>
      </c>
    </row>
    <row r="34" spans="1:3" x14ac:dyDescent="0.25">
      <c r="A34" s="86" t="s">
        <v>111</v>
      </c>
      <c r="B34" s="99">
        <f t="shared" si="0"/>
        <v>122.2731</v>
      </c>
      <c r="C34" s="78">
        <f>GETPIVOTDATA("факт",$A$3,"группа","МП","наименование","Развитие архивного дела ")</f>
        <v>122273.1</v>
      </c>
    </row>
    <row r="35" spans="1:3" x14ac:dyDescent="0.25">
      <c r="A35" s="86" t="s">
        <v>106</v>
      </c>
      <c r="B35" s="99">
        <f t="shared" si="0"/>
        <v>0.125</v>
      </c>
      <c r="C35" s="78">
        <f>GETPIVOTDATA("факт",$A$3,"группа","МП","наименование","Развитие культуры ")</f>
        <v>125</v>
      </c>
    </row>
    <row r="36" spans="1:3" x14ac:dyDescent="0.25">
      <c r="A36" s="86" t="s">
        <v>112</v>
      </c>
      <c r="B36" s="99">
        <f t="shared" si="0"/>
        <v>154.97550000000001</v>
      </c>
      <c r="C36" s="78">
        <f>GETPIVOTDATA("факт",$A$3,"группа","МП","наименование","Развитие молодежной политики ")</f>
        <v>154975.5</v>
      </c>
    </row>
    <row r="37" spans="1:3" x14ac:dyDescent="0.25">
      <c r="A37" s="86" t="s">
        <v>113</v>
      </c>
      <c r="B37" s="99">
        <f t="shared" si="0"/>
        <v>0.65300000000000002</v>
      </c>
      <c r="C37" s="78">
        <f>GETPIVOTDATA("факт",$A$3,"группа","МП","наименование","Развитие муниципальной службы ")</f>
        <v>653</v>
      </c>
    </row>
    <row r="38" spans="1:3" x14ac:dyDescent="0.25">
      <c r="A38" s="86" t="s">
        <v>56</v>
      </c>
      <c r="B38" s="99">
        <f t="shared" si="0"/>
        <v>0.36299999999999999</v>
      </c>
      <c r="C38" s="78">
        <f>GETPIVOTDATA("факт",$A$3,"группа","МП","наименование","Развитие системы общего и дополнительного образования")</f>
        <v>363</v>
      </c>
    </row>
    <row r="39" spans="1:3" x14ac:dyDescent="0.25">
      <c r="A39" s="86" t="s">
        <v>107</v>
      </c>
      <c r="B39" s="99">
        <f t="shared" si="0"/>
        <v>0.01</v>
      </c>
      <c r="C39" s="78">
        <f>GETPIVOTDATA("факт",$A$3,"группа","МП","наименование","Развитие улично-дорожной сети ")</f>
        <v>10</v>
      </c>
    </row>
    <row r="40" spans="1:3" x14ac:dyDescent="0.25">
      <c r="A40" s="86" t="s">
        <v>114</v>
      </c>
      <c r="B40" s="99">
        <f t="shared" si="0"/>
        <v>8.5000000000000006E-2</v>
      </c>
      <c r="C40" s="78">
        <f>GETPIVOTDATA("факт",$A$3,"группа","МП","наименование","Развитие физической культуры и спорта ")</f>
        <v>85</v>
      </c>
    </row>
    <row r="41" spans="1:3" x14ac:dyDescent="0.25">
      <c r="A41" s="86" t="s">
        <v>115</v>
      </c>
      <c r="B41" s="99">
        <f t="shared" si="0"/>
        <v>0.05</v>
      </c>
      <c r="C41" s="78">
        <f>GETPIVOTDATA("факт",$A$3,"группа","МП","наименование","Реализация государственной национальной политики ")</f>
        <v>50</v>
      </c>
    </row>
    <row r="42" spans="1:3" x14ac:dyDescent="0.25">
      <c r="A42" s="86" t="s">
        <v>116</v>
      </c>
      <c r="B42" s="99">
        <f t="shared" si="0"/>
        <v>0</v>
      </c>
      <c r="C42" s="78">
        <f>GETPIVOTDATA("факт",$A$3,"группа","МП","наименование","Снижение рисков и смягчение последствий чрезвычайных ситуаций природного и техногенного характера ")</f>
        <v>0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topLeftCell="B32" workbookViewId="0">
      <selection activeCell="B35" sqref="A35:XFD35"/>
    </sheetView>
  </sheetViews>
  <sheetFormatPr defaultRowHeight="15" x14ac:dyDescent="0.25"/>
  <cols>
    <col min="1" max="1" width="5.85546875" style="4" hidden="1" customWidth="1"/>
    <col min="2" max="2" width="11" style="4" customWidth="1"/>
    <col min="3" max="3" width="55.42578125" style="4" customWidth="1"/>
    <col min="4" max="4" width="14.85546875" style="4" customWidth="1"/>
    <col min="5" max="5" width="9.140625" style="4"/>
    <col min="6" max="8" width="20" style="4" customWidth="1"/>
    <col min="9" max="9" width="13.42578125" style="4" customWidth="1"/>
    <col min="10" max="10" width="11.85546875" style="4" bestFit="1" customWidth="1"/>
    <col min="11" max="16384" width="9.140625" style="4"/>
  </cols>
  <sheetData>
    <row r="2" spans="1:8" x14ac:dyDescent="0.25">
      <c r="H2" s="5" t="s">
        <v>33</v>
      </c>
    </row>
    <row r="4" spans="1:8" ht="18.75" x14ac:dyDescent="0.25">
      <c r="B4" s="70" t="s">
        <v>9</v>
      </c>
      <c r="C4" s="71" t="s">
        <v>8</v>
      </c>
      <c r="D4" s="71" t="s">
        <v>12</v>
      </c>
      <c r="E4" s="71" t="s">
        <v>0</v>
      </c>
      <c r="F4" s="71" t="s">
        <v>10</v>
      </c>
      <c r="G4" s="72" t="s">
        <v>11</v>
      </c>
    </row>
    <row r="5" spans="1:8" s="28" customFormat="1" ht="15.75" x14ac:dyDescent="0.25">
      <c r="A5" s="46"/>
      <c r="B5" s="55" t="s">
        <v>69</v>
      </c>
      <c r="C5" s="26" t="s">
        <v>37</v>
      </c>
      <c r="D5" s="26" t="s">
        <v>35</v>
      </c>
      <c r="E5" s="26">
        <v>2023</v>
      </c>
      <c r="F5" s="27">
        <v>374668.67</v>
      </c>
      <c r="G5" s="63">
        <v>323433</v>
      </c>
    </row>
    <row r="6" spans="1:8" s="31" customFormat="1" ht="15.75" x14ac:dyDescent="0.25">
      <c r="A6" s="45"/>
      <c r="B6" s="56" t="s">
        <v>1</v>
      </c>
      <c r="C6" s="29" t="s">
        <v>2</v>
      </c>
      <c r="D6" s="29" t="s">
        <v>35</v>
      </c>
      <c r="E6" s="26">
        <v>2023</v>
      </c>
      <c r="F6" s="30">
        <v>253363.5</v>
      </c>
      <c r="G6" s="156">
        <v>236079.2</v>
      </c>
    </row>
    <row r="7" spans="1:8" s="31" customFormat="1" ht="22.5" x14ac:dyDescent="0.25">
      <c r="A7" s="45"/>
      <c r="B7" s="56" t="s">
        <v>1</v>
      </c>
      <c r="C7" s="29" t="s">
        <v>13</v>
      </c>
      <c r="D7" s="29" t="s">
        <v>35</v>
      </c>
      <c r="E7" s="26">
        <v>2023</v>
      </c>
      <c r="F7" s="30">
        <v>6450</v>
      </c>
      <c r="G7" s="156">
        <v>43518.3</v>
      </c>
    </row>
    <row r="8" spans="1:8" s="31" customFormat="1" ht="15.75" x14ac:dyDescent="0.25">
      <c r="A8" s="45"/>
      <c r="B8" s="56" t="s">
        <v>1</v>
      </c>
      <c r="C8" s="29" t="s">
        <v>14</v>
      </c>
      <c r="D8" s="29" t="s">
        <v>35</v>
      </c>
      <c r="E8" s="26">
        <v>2023</v>
      </c>
      <c r="F8" s="30">
        <v>46655</v>
      </c>
      <c r="G8" s="156">
        <v>7790.6</v>
      </c>
    </row>
    <row r="9" spans="1:8" s="31" customFormat="1" ht="22.5" x14ac:dyDescent="0.25">
      <c r="A9" s="45"/>
      <c r="B9" s="57" t="s">
        <v>1</v>
      </c>
      <c r="C9" s="32" t="s">
        <v>15</v>
      </c>
      <c r="D9" s="32" t="s">
        <v>35</v>
      </c>
      <c r="E9" s="26">
        <v>2023</v>
      </c>
      <c r="F9" s="33">
        <v>31380</v>
      </c>
      <c r="G9" s="64"/>
    </row>
    <row r="10" spans="1:8" s="31" customFormat="1" ht="15.75" x14ac:dyDescent="0.25">
      <c r="A10" s="45"/>
      <c r="B10" s="57" t="s">
        <v>1</v>
      </c>
      <c r="C10" s="32" t="s">
        <v>16</v>
      </c>
      <c r="D10" s="32" t="s">
        <v>35</v>
      </c>
      <c r="E10" s="26">
        <v>2023</v>
      </c>
      <c r="F10" s="33">
        <v>13500</v>
      </c>
      <c r="G10" s="64"/>
    </row>
    <row r="11" spans="1:8" s="31" customFormat="1" ht="15.75" x14ac:dyDescent="0.25">
      <c r="A11" s="45"/>
      <c r="B11" s="57" t="s">
        <v>1</v>
      </c>
      <c r="C11" s="32" t="s">
        <v>17</v>
      </c>
      <c r="D11" s="32" t="s">
        <v>35</v>
      </c>
      <c r="E11" s="26">
        <v>2023</v>
      </c>
      <c r="F11" s="33">
        <v>125</v>
      </c>
      <c r="G11" s="64"/>
    </row>
    <row r="12" spans="1:8" s="31" customFormat="1" ht="22.5" x14ac:dyDescent="0.25">
      <c r="A12" s="45"/>
      <c r="B12" s="57" t="s">
        <v>1</v>
      </c>
      <c r="C12" s="32" t="s">
        <v>18</v>
      </c>
      <c r="D12" s="32" t="s">
        <v>35</v>
      </c>
      <c r="E12" s="26">
        <v>2023</v>
      </c>
      <c r="F12" s="33">
        <v>1650</v>
      </c>
      <c r="G12" s="64"/>
    </row>
    <row r="13" spans="1:8" s="31" customFormat="1" ht="15.75" x14ac:dyDescent="0.25">
      <c r="A13" s="45"/>
      <c r="B13" s="56" t="s">
        <v>1</v>
      </c>
      <c r="C13" s="29" t="s">
        <v>19</v>
      </c>
      <c r="D13" s="29" t="s">
        <v>35</v>
      </c>
      <c r="E13" s="26">
        <v>2023</v>
      </c>
      <c r="F13" s="30">
        <v>60050</v>
      </c>
      <c r="G13" s="156">
        <v>32843.800000000003</v>
      </c>
    </row>
    <row r="14" spans="1:8" s="31" customFormat="1" ht="15.75" x14ac:dyDescent="0.25">
      <c r="A14" s="45"/>
      <c r="B14" s="58" t="s">
        <v>1</v>
      </c>
      <c r="C14" s="34" t="s">
        <v>20</v>
      </c>
      <c r="D14" s="34" t="s">
        <v>35</v>
      </c>
      <c r="E14" s="26">
        <v>2023</v>
      </c>
      <c r="F14" s="35">
        <v>17100</v>
      </c>
      <c r="G14" s="65"/>
    </row>
    <row r="15" spans="1:8" s="31" customFormat="1" ht="15.75" x14ac:dyDescent="0.25">
      <c r="A15" s="45"/>
      <c r="B15" s="58" t="s">
        <v>1</v>
      </c>
      <c r="C15" s="34" t="s">
        <v>21</v>
      </c>
      <c r="D15" s="34" t="s">
        <v>35</v>
      </c>
      <c r="E15" s="26">
        <v>2023</v>
      </c>
      <c r="F15" s="35">
        <v>2450</v>
      </c>
      <c r="G15" s="65"/>
    </row>
    <row r="16" spans="1:8" s="31" customFormat="1" ht="15.75" x14ac:dyDescent="0.25">
      <c r="A16" s="45"/>
      <c r="B16" s="58" t="s">
        <v>1</v>
      </c>
      <c r="C16" s="34" t="s">
        <v>25</v>
      </c>
      <c r="D16" s="34" t="s">
        <v>35</v>
      </c>
      <c r="E16" s="26">
        <v>2023</v>
      </c>
      <c r="F16" s="35">
        <v>40500</v>
      </c>
      <c r="G16" s="158"/>
    </row>
    <row r="17" spans="1:7" s="31" customFormat="1" ht="15.75" x14ac:dyDescent="0.25">
      <c r="A17" s="45"/>
      <c r="B17" s="57" t="s">
        <v>1</v>
      </c>
      <c r="C17" s="32" t="s">
        <v>23</v>
      </c>
      <c r="D17" s="32" t="s">
        <v>35</v>
      </c>
      <c r="E17" s="26">
        <v>2023</v>
      </c>
      <c r="F17" s="33">
        <v>36500</v>
      </c>
      <c r="G17" s="64"/>
    </row>
    <row r="18" spans="1:7" s="31" customFormat="1" ht="15.75" x14ac:dyDescent="0.25">
      <c r="A18" s="45"/>
      <c r="B18" s="57" t="s">
        <v>1</v>
      </c>
      <c r="C18" s="32" t="s">
        <v>24</v>
      </c>
      <c r="D18" s="32" t="s">
        <v>35</v>
      </c>
      <c r="E18" s="26">
        <v>2023</v>
      </c>
      <c r="F18" s="33">
        <v>4000</v>
      </c>
      <c r="G18" s="64"/>
    </row>
    <row r="19" spans="1:7" s="31" customFormat="1" ht="22.5" x14ac:dyDescent="0.25">
      <c r="A19" s="45"/>
      <c r="B19" s="56" t="s">
        <v>1</v>
      </c>
      <c r="C19" s="29" t="s">
        <v>189</v>
      </c>
      <c r="D19" s="29" t="s">
        <v>35</v>
      </c>
      <c r="E19" s="26">
        <v>2023</v>
      </c>
      <c r="F19" s="30">
        <v>0.17</v>
      </c>
      <c r="G19" s="156">
        <v>636</v>
      </c>
    </row>
    <row r="20" spans="1:7" s="31" customFormat="1" ht="15.75" x14ac:dyDescent="0.25">
      <c r="A20" s="45"/>
      <c r="B20" s="56" t="s">
        <v>1</v>
      </c>
      <c r="C20" s="29" t="s">
        <v>26</v>
      </c>
      <c r="D20" s="29" t="s">
        <v>35</v>
      </c>
      <c r="E20" s="26">
        <v>2023</v>
      </c>
      <c r="F20" s="30">
        <v>8150</v>
      </c>
      <c r="G20" s="156">
        <v>2564.8000000000002</v>
      </c>
    </row>
    <row r="21" spans="1:7" s="31" customFormat="1" ht="22.5" x14ac:dyDescent="0.25">
      <c r="A21" s="45"/>
      <c r="B21" s="56" t="s">
        <v>1</v>
      </c>
      <c r="C21" s="29" t="s">
        <v>36</v>
      </c>
      <c r="D21" s="29" t="s">
        <v>35</v>
      </c>
      <c r="E21" s="26">
        <v>2023</v>
      </c>
      <c r="F21" s="30">
        <v>0</v>
      </c>
      <c r="G21" s="156">
        <v>0.3</v>
      </c>
    </row>
    <row r="22" spans="1:7" s="28" customFormat="1" ht="15.75" x14ac:dyDescent="0.25">
      <c r="A22" s="46"/>
      <c r="B22" s="55" t="s">
        <v>70</v>
      </c>
      <c r="C22" s="26" t="s">
        <v>38</v>
      </c>
      <c r="D22" s="26" t="s">
        <v>35</v>
      </c>
      <c r="E22" s="26">
        <v>2023</v>
      </c>
      <c r="F22" s="27">
        <v>66007.100000000006</v>
      </c>
      <c r="G22" s="157">
        <v>36566.1</v>
      </c>
    </row>
    <row r="23" spans="1:7" s="31" customFormat="1" ht="22.5" x14ac:dyDescent="0.25">
      <c r="A23" s="45"/>
      <c r="B23" s="56" t="s">
        <v>3</v>
      </c>
      <c r="C23" s="29" t="s">
        <v>27</v>
      </c>
      <c r="D23" s="29" t="s">
        <v>35</v>
      </c>
      <c r="E23" s="26">
        <v>2023</v>
      </c>
      <c r="F23" s="30">
        <v>41400</v>
      </c>
      <c r="G23" s="156">
        <v>12725.8</v>
      </c>
    </row>
    <row r="24" spans="1:7" s="31" customFormat="1" ht="15.75" x14ac:dyDescent="0.25">
      <c r="A24" s="45"/>
      <c r="B24" s="56" t="s">
        <v>3</v>
      </c>
      <c r="C24" s="29" t="s">
        <v>28</v>
      </c>
      <c r="D24" s="29" t="s">
        <v>35</v>
      </c>
      <c r="E24" s="26">
        <v>2023</v>
      </c>
      <c r="F24" s="30">
        <v>410.6</v>
      </c>
      <c r="G24" s="156">
        <v>444.1</v>
      </c>
    </row>
    <row r="25" spans="1:7" s="31" customFormat="1" ht="22.5" x14ac:dyDescent="0.25">
      <c r="A25" s="45"/>
      <c r="B25" s="56" t="s">
        <v>3</v>
      </c>
      <c r="C25" s="29" t="s">
        <v>29</v>
      </c>
      <c r="D25" s="29" t="s">
        <v>35</v>
      </c>
      <c r="E25" s="26">
        <v>2023</v>
      </c>
      <c r="F25" s="30">
        <v>16.5</v>
      </c>
      <c r="G25" s="156">
        <v>398.7</v>
      </c>
    </row>
    <row r="26" spans="1:7" s="31" customFormat="1" ht="22.5" x14ac:dyDescent="0.25">
      <c r="A26" s="45"/>
      <c r="B26" s="56" t="s">
        <v>3</v>
      </c>
      <c r="C26" s="29" t="s">
        <v>30</v>
      </c>
      <c r="D26" s="29" t="s">
        <v>35</v>
      </c>
      <c r="E26" s="26">
        <v>2023</v>
      </c>
      <c r="F26" s="30">
        <v>20700</v>
      </c>
      <c r="G26" s="156">
        <v>5625.3</v>
      </c>
    </row>
    <row r="27" spans="1:7" s="31" customFormat="1" ht="15.75" x14ac:dyDescent="0.25">
      <c r="A27" s="45"/>
      <c r="B27" s="56" t="s">
        <v>3</v>
      </c>
      <c r="C27" s="29" t="s">
        <v>31</v>
      </c>
      <c r="D27" s="29" t="s">
        <v>35</v>
      </c>
      <c r="E27" s="26">
        <v>2023</v>
      </c>
      <c r="F27" s="30">
        <v>2700</v>
      </c>
      <c r="G27" s="156">
        <v>1530.2</v>
      </c>
    </row>
    <row r="28" spans="1:7" s="31" customFormat="1" ht="15.75" x14ac:dyDescent="0.25">
      <c r="A28" s="45"/>
      <c r="B28" s="56" t="s">
        <v>3</v>
      </c>
      <c r="C28" s="29" t="s">
        <v>32</v>
      </c>
      <c r="D28" s="29" t="s">
        <v>35</v>
      </c>
      <c r="E28" s="26">
        <v>2023</v>
      </c>
      <c r="F28" s="30">
        <v>780</v>
      </c>
      <c r="G28" s="156">
        <v>15841.9</v>
      </c>
    </row>
    <row r="29" spans="1:7" s="28" customFormat="1" ht="15.75" x14ac:dyDescent="0.25">
      <c r="A29" s="46"/>
      <c r="B29" s="59" t="s">
        <v>72</v>
      </c>
      <c r="C29" s="36" t="s">
        <v>34</v>
      </c>
      <c r="D29" s="37" t="s">
        <v>35</v>
      </c>
      <c r="E29" s="26">
        <v>2023</v>
      </c>
      <c r="F29" s="27">
        <v>1104514.9487399999</v>
      </c>
      <c r="G29" s="157">
        <v>1440285.1</v>
      </c>
    </row>
    <row r="30" spans="1:7" s="41" customFormat="1" ht="15.75" x14ac:dyDescent="0.25">
      <c r="A30" s="47"/>
      <c r="B30" s="55" t="s">
        <v>71</v>
      </c>
      <c r="C30" s="38" t="s">
        <v>46</v>
      </c>
      <c r="D30" s="39" t="s">
        <v>67</v>
      </c>
      <c r="E30" s="26">
        <v>2023</v>
      </c>
      <c r="F30" s="40">
        <v>1601014.8057600001</v>
      </c>
      <c r="G30" s="160">
        <v>1808822.8</v>
      </c>
    </row>
    <row r="31" spans="1:7" s="31" customFormat="1" ht="15.75" x14ac:dyDescent="0.25">
      <c r="A31" s="45"/>
      <c r="B31" s="58" t="s">
        <v>7</v>
      </c>
      <c r="C31" s="42" t="s">
        <v>42</v>
      </c>
      <c r="D31" s="39" t="s">
        <v>67</v>
      </c>
      <c r="E31" s="26">
        <v>2023</v>
      </c>
      <c r="F31" s="43">
        <v>862950.20189000003</v>
      </c>
      <c r="G31" s="159">
        <v>1271277.6000000001</v>
      </c>
    </row>
    <row r="32" spans="1:7" s="31" customFormat="1" ht="15.75" x14ac:dyDescent="0.25">
      <c r="A32" s="45"/>
      <c r="B32" s="58" t="s">
        <v>7</v>
      </c>
      <c r="C32" s="42" t="s">
        <v>41</v>
      </c>
      <c r="D32" s="39" t="s">
        <v>67</v>
      </c>
      <c r="E32" s="26">
        <v>2023</v>
      </c>
      <c r="F32" s="43">
        <v>287235.36133999994</v>
      </c>
      <c r="G32" s="159">
        <v>96369.3</v>
      </c>
    </row>
    <row r="33" spans="1:7" s="31" customFormat="1" ht="15.75" x14ac:dyDescent="0.25">
      <c r="A33" s="45"/>
      <c r="B33" s="58" t="s">
        <v>7</v>
      </c>
      <c r="C33" s="42" t="s">
        <v>40</v>
      </c>
      <c r="D33" s="39" t="s">
        <v>67</v>
      </c>
      <c r="E33" s="26">
        <v>2023</v>
      </c>
      <c r="F33" s="43">
        <v>169753.12577000001</v>
      </c>
      <c r="G33" s="159">
        <v>119361.8</v>
      </c>
    </row>
    <row r="34" spans="1:7" s="31" customFormat="1" ht="15.75" x14ac:dyDescent="0.25">
      <c r="A34" s="45"/>
      <c r="B34" s="58" t="s">
        <v>7</v>
      </c>
      <c r="C34" s="42" t="s">
        <v>213</v>
      </c>
      <c r="D34" s="39" t="s">
        <v>67</v>
      </c>
      <c r="E34" s="26">
        <v>2023</v>
      </c>
      <c r="F34" s="43">
        <v>169753.12577000001</v>
      </c>
      <c r="G34" s="159">
        <v>82587.7</v>
      </c>
    </row>
    <row r="35" spans="1:7" s="31" customFormat="1" ht="15.75" x14ac:dyDescent="0.25">
      <c r="A35" s="45"/>
      <c r="B35" s="58" t="s">
        <v>7</v>
      </c>
      <c r="C35" s="42" t="s">
        <v>39</v>
      </c>
      <c r="D35" s="39" t="s">
        <v>67</v>
      </c>
      <c r="E35" s="26">
        <v>2023</v>
      </c>
      <c r="F35" s="43">
        <v>87665.804010000007</v>
      </c>
      <c r="G35" s="159">
        <v>150142.9</v>
      </c>
    </row>
    <row r="36" spans="1:7" s="31" customFormat="1" ht="15.75" x14ac:dyDescent="0.25">
      <c r="A36" s="45"/>
      <c r="B36" s="169" t="s">
        <v>7</v>
      </c>
      <c r="C36" s="170" t="s">
        <v>207</v>
      </c>
      <c r="D36" s="171" t="s">
        <v>67</v>
      </c>
      <c r="E36" s="26">
        <v>2023</v>
      </c>
      <c r="F36" s="172">
        <v>87665.804010000007</v>
      </c>
      <c r="G36" s="173">
        <f>G29+G22+G5-G30</f>
        <v>-8538.5999999998603</v>
      </c>
    </row>
    <row r="37" spans="1:7" s="31" customFormat="1" ht="15.75" x14ac:dyDescent="0.25">
      <c r="A37" s="45"/>
      <c r="B37" s="169" t="s">
        <v>7</v>
      </c>
      <c r="C37" s="170" t="s">
        <v>210</v>
      </c>
      <c r="D37" s="171" t="s">
        <v>67</v>
      </c>
      <c r="E37" s="26">
        <v>2023</v>
      </c>
      <c r="F37" s="172"/>
      <c r="G37" s="192">
        <v>2023</v>
      </c>
    </row>
    <row r="38" spans="1:7" s="31" customFormat="1" ht="15.75" x14ac:dyDescent="0.25">
      <c r="A38" s="45"/>
      <c r="B38" s="58" t="s">
        <v>7</v>
      </c>
      <c r="C38" s="42" t="s">
        <v>44</v>
      </c>
      <c r="D38" s="39" t="s">
        <v>67</v>
      </c>
      <c r="E38" s="26">
        <v>2023</v>
      </c>
      <c r="F38" s="43">
        <v>74588.892749999999</v>
      </c>
      <c r="G38" s="159">
        <v>25791.5</v>
      </c>
    </row>
    <row r="39" spans="1:7" s="31" customFormat="1" ht="15.75" x14ac:dyDescent="0.25">
      <c r="A39" s="45"/>
      <c r="B39" s="58" t="s">
        <v>7</v>
      </c>
      <c r="C39" s="42" t="s">
        <v>43</v>
      </c>
      <c r="D39" s="39" t="s">
        <v>67</v>
      </c>
      <c r="E39" s="26">
        <v>2023</v>
      </c>
      <c r="F39" s="43">
        <v>61009.8</v>
      </c>
      <c r="G39" s="159">
        <v>101187.5</v>
      </c>
    </row>
    <row r="40" spans="1:7" s="31" customFormat="1" ht="15.75" x14ac:dyDescent="0.25">
      <c r="A40" s="45"/>
      <c r="B40" s="58" t="s">
        <v>7</v>
      </c>
      <c r="C40" s="42" t="s">
        <v>45</v>
      </c>
      <c r="D40" s="39" t="s">
        <v>67</v>
      </c>
      <c r="E40" s="26">
        <v>2023</v>
      </c>
      <c r="F40" s="43">
        <v>45167.684999999998</v>
      </c>
      <c r="G40" s="159">
        <v>31229</v>
      </c>
    </row>
    <row r="41" spans="1:7" s="31" customFormat="1" ht="15.75" x14ac:dyDescent="0.25">
      <c r="A41" s="45"/>
      <c r="B41" s="58" t="s">
        <v>7</v>
      </c>
      <c r="C41" s="42" t="s">
        <v>47</v>
      </c>
      <c r="D41" s="39" t="s">
        <v>67</v>
      </c>
      <c r="E41" s="26">
        <v>2023</v>
      </c>
      <c r="F41" s="43">
        <v>12643.934999999999</v>
      </c>
      <c r="G41" s="159">
        <v>13463.2</v>
      </c>
    </row>
    <row r="42" spans="1:7" s="31" customFormat="1" ht="15.75" x14ac:dyDescent="0.25">
      <c r="A42" s="45"/>
      <c r="B42" s="58" t="s">
        <v>75</v>
      </c>
      <c r="C42" s="42" t="s">
        <v>78</v>
      </c>
      <c r="D42" s="39" t="s">
        <v>67</v>
      </c>
      <c r="E42" s="26">
        <v>2023</v>
      </c>
      <c r="F42" s="43">
        <f>SUM(F43:F57)</f>
        <v>1471494.3958200002</v>
      </c>
      <c r="G42" s="43">
        <f>SUM(G43:G57)</f>
        <v>1742788.3</v>
      </c>
    </row>
    <row r="43" spans="1:7" s="31" customFormat="1" ht="22.5" x14ac:dyDescent="0.25">
      <c r="A43" s="45"/>
      <c r="B43" s="58" t="s">
        <v>48</v>
      </c>
      <c r="C43" s="34" t="s">
        <v>51</v>
      </c>
      <c r="D43" s="39" t="s">
        <v>67</v>
      </c>
      <c r="E43" s="26">
        <v>2023</v>
      </c>
      <c r="F43" s="35">
        <v>3562.9920000000002</v>
      </c>
      <c r="G43" s="158">
        <v>596853</v>
      </c>
    </row>
    <row r="44" spans="1:7" s="31" customFormat="1" ht="33.75" x14ac:dyDescent="0.25">
      <c r="A44" s="45"/>
      <c r="B44" s="58" t="s">
        <v>48</v>
      </c>
      <c r="C44" s="34" t="s">
        <v>52</v>
      </c>
      <c r="D44" s="39" t="s">
        <v>67</v>
      </c>
      <c r="E44" s="26">
        <v>2023</v>
      </c>
      <c r="F44" s="35">
        <v>17019.329409999998</v>
      </c>
      <c r="G44" s="158">
        <v>8250.7999999999993</v>
      </c>
    </row>
    <row r="45" spans="1:7" s="31" customFormat="1" ht="22.5" x14ac:dyDescent="0.25">
      <c r="A45" s="45"/>
      <c r="B45" s="58" t="s">
        <v>48</v>
      </c>
      <c r="C45" s="34" t="s">
        <v>53</v>
      </c>
      <c r="D45" s="39" t="s">
        <v>67</v>
      </c>
      <c r="E45" s="26">
        <v>2023</v>
      </c>
      <c r="F45" s="35">
        <v>137211.25875000001</v>
      </c>
      <c r="G45" s="158">
        <v>0</v>
      </c>
    </row>
    <row r="46" spans="1:7" s="31" customFormat="1" ht="22.5" x14ac:dyDescent="0.25">
      <c r="A46" s="45"/>
      <c r="B46" s="58" t="s">
        <v>48</v>
      </c>
      <c r="C46" s="34" t="s">
        <v>54</v>
      </c>
      <c r="D46" s="39" t="s">
        <v>67</v>
      </c>
      <c r="E46" s="26">
        <v>2023</v>
      </c>
      <c r="F46" s="35">
        <v>2164.5300000000002</v>
      </c>
      <c r="G46" s="158">
        <v>18905.099999999999</v>
      </c>
    </row>
    <row r="47" spans="1:7" s="31" customFormat="1" ht="22.5" x14ac:dyDescent="0.25">
      <c r="A47" s="45"/>
      <c r="B47" s="58" t="s">
        <v>48</v>
      </c>
      <c r="C47" s="34" t="s">
        <v>55</v>
      </c>
      <c r="D47" s="39" t="s">
        <v>67</v>
      </c>
      <c r="E47" s="26">
        <v>2023</v>
      </c>
      <c r="F47" s="35">
        <v>85</v>
      </c>
      <c r="G47" s="158">
        <v>50</v>
      </c>
    </row>
    <row r="48" spans="1:7" s="31" customFormat="1" ht="15.75" x14ac:dyDescent="0.25">
      <c r="A48" s="45"/>
      <c r="B48" s="58" t="s">
        <v>48</v>
      </c>
      <c r="C48" s="34" t="s">
        <v>56</v>
      </c>
      <c r="D48" s="39" t="s">
        <v>67</v>
      </c>
      <c r="E48" s="26">
        <v>2023</v>
      </c>
      <c r="F48" s="35">
        <v>843240.63523000001</v>
      </c>
      <c r="G48" s="158">
        <v>253.9</v>
      </c>
    </row>
    <row r="49" spans="1:7" s="31" customFormat="1" ht="22.5" x14ac:dyDescent="0.25">
      <c r="A49" s="45"/>
      <c r="B49" s="58" t="s">
        <v>48</v>
      </c>
      <c r="C49" s="34" t="s">
        <v>57</v>
      </c>
      <c r="D49" s="39" t="s">
        <v>67</v>
      </c>
      <c r="E49" s="26">
        <v>2023</v>
      </c>
      <c r="F49" s="35">
        <v>21436.5</v>
      </c>
      <c r="G49" s="158">
        <v>138835.79999999999</v>
      </c>
    </row>
    <row r="50" spans="1:7" s="31" customFormat="1" ht="22.5" x14ac:dyDescent="0.25">
      <c r="A50" s="45"/>
      <c r="B50" s="58" t="s">
        <v>48</v>
      </c>
      <c r="C50" s="34" t="s">
        <v>58</v>
      </c>
      <c r="D50" s="39" t="s">
        <v>67</v>
      </c>
      <c r="E50" s="26">
        <v>2023</v>
      </c>
      <c r="F50" s="35">
        <v>108636.86040999999</v>
      </c>
      <c r="G50" s="158">
        <v>444.9</v>
      </c>
    </row>
    <row r="51" spans="1:7" s="31" customFormat="1" ht="22.5" x14ac:dyDescent="0.25">
      <c r="A51" s="45"/>
      <c r="B51" s="58" t="s">
        <v>48</v>
      </c>
      <c r="C51" s="34" t="s">
        <v>60</v>
      </c>
      <c r="D51" s="39" t="s">
        <v>67</v>
      </c>
      <c r="E51" s="26">
        <v>2023</v>
      </c>
      <c r="F51" s="35">
        <v>45167.684999999998</v>
      </c>
      <c r="G51" s="158">
        <v>82.8</v>
      </c>
    </row>
    <row r="52" spans="1:7" s="31" customFormat="1" ht="22.5" x14ac:dyDescent="0.25">
      <c r="A52" s="45"/>
      <c r="B52" s="58" t="s">
        <v>48</v>
      </c>
      <c r="C52" s="34" t="s">
        <v>49</v>
      </c>
      <c r="D52" s="39" t="s">
        <v>67</v>
      </c>
      <c r="E52" s="26">
        <v>2023</v>
      </c>
      <c r="F52" s="35">
        <v>12882.108609999999</v>
      </c>
      <c r="G52" s="158">
        <v>3653.5</v>
      </c>
    </row>
    <row r="53" spans="1:7" s="31" customFormat="1" ht="33.75" x14ac:dyDescent="0.25">
      <c r="A53" s="45"/>
      <c r="B53" s="58" t="s">
        <v>48</v>
      </c>
      <c r="C53" s="34" t="s">
        <v>61</v>
      </c>
      <c r="D53" s="39" t="s">
        <v>67</v>
      </c>
      <c r="E53" s="26">
        <v>2023</v>
      </c>
      <c r="F53" s="35">
        <v>188272.66080000001</v>
      </c>
      <c r="G53" s="158">
        <v>4631.3999999999996</v>
      </c>
    </row>
    <row r="54" spans="1:7" s="31" customFormat="1" ht="33.75" x14ac:dyDescent="0.25">
      <c r="A54" s="45"/>
      <c r="B54" s="58" t="s">
        <v>48</v>
      </c>
      <c r="C54" s="34" t="s">
        <v>62</v>
      </c>
      <c r="D54" s="39" t="s">
        <v>67</v>
      </c>
      <c r="E54" s="26">
        <v>2023</v>
      </c>
      <c r="F54" s="35">
        <v>8268.5</v>
      </c>
      <c r="G54" s="158">
        <v>10211.700000000001</v>
      </c>
    </row>
    <row r="55" spans="1:7" s="31" customFormat="1" ht="56.25" x14ac:dyDescent="0.25">
      <c r="A55" s="45"/>
      <c r="B55" s="58" t="s">
        <v>48</v>
      </c>
      <c r="C55" s="34" t="s">
        <v>63</v>
      </c>
      <c r="D55" s="39" t="s">
        <v>67</v>
      </c>
      <c r="E55" s="26">
        <v>2023</v>
      </c>
      <c r="F55" s="35">
        <v>16120.799000000001</v>
      </c>
      <c r="G55" s="158">
        <v>96362.2</v>
      </c>
    </row>
    <row r="56" spans="1:7" s="31" customFormat="1" ht="22.5" x14ac:dyDescent="0.25">
      <c r="A56" s="45"/>
      <c r="B56" s="58" t="s">
        <v>48</v>
      </c>
      <c r="C56" s="34" t="s">
        <v>64</v>
      </c>
      <c r="D56" s="39" t="s">
        <v>67</v>
      </c>
      <c r="E56" s="26">
        <v>2023</v>
      </c>
      <c r="F56" s="35">
        <v>65510.366929999997</v>
      </c>
      <c r="G56" s="158">
        <v>1700.1</v>
      </c>
    </row>
    <row r="57" spans="1:7" s="31" customFormat="1" ht="33.75" x14ac:dyDescent="0.25">
      <c r="A57" s="45"/>
      <c r="B57" s="58" t="s">
        <v>48</v>
      </c>
      <c r="C57" s="34" t="s">
        <v>65</v>
      </c>
      <c r="D57" s="39" t="s">
        <v>67</v>
      </c>
      <c r="E57" s="26">
        <v>2023</v>
      </c>
      <c r="F57" s="35">
        <v>1915.16968</v>
      </c>
      <c r="G57" s="158">
        <v>862553.1</v>
      </c>
    </row>
    <row r="58" spans="1:7" s="31" customFormat="1" ht="15.75" x14ac:dyDescent="0.25">
      <c r="A58" s="45"/>
      <c r="B58" s="58" t="s">
        <v>76</v>
      </c>
      <c r="C58" s="34" t="s">
        <v>77</v>
      </c>
      <c r="D58" s="39" t="s">
        <v>67</v>
      </c>
      <c r="E58" s="26">
        <v>2023</v>
      </c>
      <c r="F58" s="35">
        <f>F59</f>
        <v>18344.575550000001</v>
      </c>
      <c r="G58" s="185">
        <f>G59</f>
        <v>66034.5</v>
      </c>
    </row>
    <row r="59" spans="1:7" s="31" customFormat="1" ht="15.75" x14ac:dyDescent="0.25">
      <c r="A59" s="45"/>
      <c r="B59" s="58" t="s">
        <v>48</v>
      </c>
      <c r="C59" s="34" t="s">
        <v>66</v>
      </c>
      <c r="D59" s="39" t="s">
        <v>67</v>
      </c>
      <c r="E59" s="26">
        <v>2023</v>
      </c>
      <c r="F59" s="35">
        <v>18344.575550000001</v>
      </c>
      <c r="G59" s="158">
        <v>66034.5</v>
      </c>
    </row>
    <row r="60" spans="1:7" s="15" customFormat="1" ht="15.75" x14ac:dyDescent="0.25">
      <c r="A60" s="50"/>
      <c r="B60" s="55" t="s">
        <v>69</v>
      </c>
      <c r="C60" s="12" t="s">
        <v>37</v>
      </c>
      <c r="D60" s="12" t="s">
        <v>35</v>
      </c>
      <c r="E60" s="12">
        <v>2024</v>
      </c>
      <c r="F60" s="13">
        <v>364367.8</v>
      </c>
      <c r="G60" s="157">
        <v>335223.59999999998</v>
      </c>
    </row>
    <row r="61" spans="1:7" ht="15.75" x14ac:dyDescent="0.25">
      <c r="A61" s="51"/>
      <c r="B61" s="60" t="s">
        <v>1</v>
      </c>
      <c r="C61" s="6" t="s">
        <v>2</v>
      </c>
      <c r="D61" s="6" t="s">
        <v>35</v>
      </c>
      <c r="E61" s="12">
        <v>2024</v>
      </c>
      <c r="F61" s="7">
        <v>260842.8</v>
      </c>
      <c r="G61" s="156">
        <v>254475</v>
      </c>
    </row>
    <row r="62" spans="1:7" ht="22.5" x14ac:dyDescent="0.25">
      <c r="A62" s="51"/>
      <c r="B62" s="60" t="s">
        <v>1</v>
      </c>
      <c r="C62" s="6" t="s">
        <v>13</v>
      </c>
      <c r="D62" s="6" t="s">
        <v>35</v>
      </c>
      <c r="E62" s="12">
        <v>2024</v>
      </c>
      <c r="F62" s="7">
        <v>7360</v>
      </c>
      <c r="G62" s="156">
        <v>38854.6</v>
      </c>
    </row>
    <row r="63" spans="1:7" ht="15.75" x14ac:dyDescent="0.25">
      <c r="A63" s="51"/>
      <c r="B63" s="60" t="s">
        <v>1</v>
      </c>
      <c r="C63" s="6" t="s">
        <v>14</v>
      </c>
      <c r="D63" s="6" t="s">
        <v>35</v>
      </c>
      <c r="E63" s="12">
        <v>2024</v>
      </c>
      <c r="F63" s="7">
        <v>47555</v>
      </c>
      <c r="G63" s="156">
        <v>8700</v>
      </c>
    </row>
    <row r="64" spans="1:7" ht="22.5" x14ac:dyDescent="0.25">
      <c r="A64" s="51"/>
      <c r="B64" s="61" t="s">
        <v>1</v>
      </c>
      <c r="C64" s="8" t="s">
        <v>15</v>
      </c>
      <c r="D64" s="8" t="s">
        <v>35</v>
      </c>
      <c r="E64" s="12">
        <v>2024</v>
      </c>
      <c r="F64" s="9">
        <v>36480</v>
      </c>
      <c r="G64" s="68"/>
    </row>
    <row r="65" spans="1:7" ht="22.5" x14ac:dyDescent="0.25">
      <c r="A65" s="51"/>
      <c r="B65" s="61" t="s">
        <v>1</v>
      </c>
      <c r="C65" s="8" t="s">
        <v>16</v>
      </c>
      <c r="D65" s="8" t="s">
        <v>35</v>
      </c>
      <c r="E65" s="12">
        <v>2024</v>
      </c>
      <c r="F65" s="9">
        <v>2260</v>
      </c>
      <c r="G65" s="68"/>
    </row>
    <row r="66" spans="1:7" ht="15.75" x14ac:dyDescent="0.25">
      <c r="A66" s="51"/>
      <c r="B66" s="61" t="s">
        <v>1</v>
      </c>
      <c r="C66" s="8" t="s">
        <v>17</v>
      </c>
      <c r="D66" s="8" t="s">
        <v>35</v>
      </c>
      <c r="E66" s="12">
        <v>2024</v>
      </c>
      <c r="F66" s="9">
        <v>15</v>
      </c>
      <c r="G66" s="68"/>
    </row>
    <row r="67" spans="1:7" ht="22.5" x14ac:dyDescent="0.25">
      <c r="A67" s="51"/>
      <c r="B67" s="61" t="s">
        <v>1</v>
      </c>
      <c r="C67" s="8" t="s">
        <v>18</v>
      </c>
      <c r="D67" s="8" t="s">
        <v>35</v>
      </c>
      <c r="E67" s="12">
        <v>2024</v>
      </c>
      <c r="F67" s="9">
        <v>8800</v>
      </c>
      <c r="G67" s="68"/>
    </row>
    <row r="68" spans="1:7" ht="15.75" x14ac:dyDescent="0.25">
      <c r="A68" s="51"/>
      <c r="B68" s="60" t="s">
        <v>1</v>
      </c>
      <c r="C68" s="6" t="s">
        <v>19</v>
      </c>
      <c r="D68" s="6" t="s">
        <v>35</v>
      </c>
      <c r="E68" s="12">
        <v>2024</v>
      </c>
      <c r="F68" s="7">
        <v>40095</v>
      </c>
      <c r="G68" s="156">
        <v>29820</v>
      </c>
    </row>
    <row r="69" spans="1:7" ht="15.75" x14ac:dyDescent="0.25">
      <c r="A69" s="51"/>
      <c r="B69" s="62" t="s">
        <v>1</v>
      </c>
      <c r="C69" s="10" t="s">
        <v>20</v>
      </c>
      <c r="D69" s="10" t="s">
        <v>35</v>
      </c>
      <c r="E69" s="12">
        <v>2024</v>
      </c>
      <c r="F69" s="11">
        <v>15630</v>
      </c>
      <c r="G69" s="69"/>
    </row>
    <row r="70" spans="1:7" ht="15.75" x14ac:dyDescent="0.25">
      <c r="A70" s="51"/>
      <c r="B70" s="62" t="s">
        <v>1</v>
      </c>
      <c r="C70" s="10" t="s">
        <v>21</v>
      </c>
      <c r="D70" s="10" t="s">
        <v>35</v>
      </c>
      <c r="E70" s="12">
        <v>2024</v>
      </c>
      <c r="F70" s="11">
        <v>2285</v>
      </c>
      <c r="G70" s="69"/>
    </row>
    <row r="71" spans="1:7" ht="15.75" x14ac:dyDescent="0.25">
      <c r="A71" s="51"/>
      <c r="B71" s="62" t="s">
        <v>1</v>
      </c>
      <c r="C71" s="10" t="s">
        <v>22</v>
      </c>
      <c r="D71" s="10" t="s">
        <v>35</v>
      </c>
      <c r="E71" s="12">
        <v>2024</v>
      </c>
      <c r="F71" s="11">
        <v>22180</v>
      </c>
      <c r="G71" s="69"/>
    </row>
    <row r="72" spans="1:7" ht="15.75" x14ac:dyDescent="0.25">
      <c r="A72" s="51"/>
      <c r="B72" s="61" t="s">
        <v>1</v>
      </c>
      <c r="C72" s="8" t="s">
        <v>23</v>
      </c>
      <c r="D72" s="8" t="s">
        <v>35</v>
      </c>
      <c r="E72" s="12">
        <v>2024</v>
      </c>
      <c r="F72" s="9">
        <v>19000</v>
      </c>
      <c r="G72" s="68"/>
    </row>
    <row r="73" spans="1:7" ht="15.75" x14ac:dyDescent="0.25">
      <c r="A73" s="51"/>
      <c r="B73" s="61" t="s">
        <v>1</v>
      </c>
      <c r="C73" s="8" t="s">
        <v>24</v>
      </c>
      <c r="D73" s="8" t="s">
        <v>35</v>
      </c>
      <c r="E73" s="12">
        <v>2024</v>
      </c>
      <c r="F73" s="9">
        <v>3180</v>
      </c>
      <c r="G73" s="68"/>
    </row>
    <row r="74" spans="1:7" ht="15.75" x14ac:dyDescent="0.25">
      <c r="A74" s="51"/>
      <c r="B74" s="60" t="s">
        <v>1</v>
      </c>
      <c r="C74" s="6" t="s">
        <v>25</v>
      </c>
      <c r="D74" s="6" t="s">
        <v>35</v>
      </c>
      <c r="E74" s="12">
        <v>2024</v>
      </c>
      <c r="F74" s="7">
        <v>115</v>
      </c>
      <c r="G74" s="156">
        <v>864</v>
      </c>
    </row>
    <row r="75" spans="1:7" ht="15.75" x14ac:dyDescent="0.25">
      <c r="A75" s="51"/>
      <c r="B75" s="60" t="s">
        <v>1</v>
      </c>
      <c r="C75" s="6" t="s">
        <v>26</v>
      </c>
      <c r="D75" s="6" t="s">
        <v>35</v>
      </c>
      <c r="E75" s="12">
        <v>2024</v>
      </c>
      <c r="F75" s="7">
        <v>8400</v>
      </c>
      <c r="G75" s="156">
        <v>2510</v>
      </c>
    </row>
    <row r="76" spans="1:7" ht="22.5" x14ac:dyDescent="0.25">
      <c r="A76" s="51"/>
      <c r="B76" s="60" t="s">
        <v>1</v>
      </c>
      <c r="C76" s="6" t="s">
        <v>36</v>
      </c>
      <c r="D76" s="6" t="s">
        <v>35</v>
      </c>
      <c r="E76" s="12">
        <v>2024</v>
      </c>
      <c r="F76" s="7">
        <v>0</v>
      </c>
      <c r="G76" s="67">
        <v>0</v>
      </c>
    </row>
    <row r="77" spans="1:7" s="15" customFormat="1" ht="15.75" x14ac:dyDescent="0.25">
      <c r="A77" s="50"/>
      <c r="B77" s="55" t="s">
        <v>70</v>
      </c>
      <c r="C77" s="12" t="s">
        <v>38</v>
      </c>
      <c r="D77" s="12" t="s">
        <v>35</v>
      </c>
      <c r="E77" s="12">
        <v>2024</v>
      </c>
      <c r="F77" s="13">
        <v>73897.18144</v>
      </c>
      <c r="G77" s="157">
        <v>17892</v>
      </c>
    </row>
    <row r="78" spans="1:7" ht="22.5" x14ac:dyDescent="0.25">
      <c r="A78" s="51"/>
      <c r="B78" s="60" t="s">
        <v>3</v>
      </c>
      <c r="C78" s="6" t="s">
        <v>27</v>
      </c>
      <c r="D78" s="6" t="s">
        <v>35</v>
      </c>
      <c r="E78" s="12">
        <v>2024</v>
      </c>
      <c r="F78" s="7">
        <v>42500</v>
      </c>
      <c r="G78" s="181">
        <v>7806</v>
      </c>
    </row>
    <row r="79" spans="1:7" ht="15.75" x14ac:dyDescent="0.25">
      <c r="A79" s="51"/>
      <c r="B79" s="60" t="s">
        <v>3</v>
      </c>
      <c r="C79" s="6" t="s">
        <v>28</v>
      </c>
      <c r="D79" s="6" t="s">
        <v>35</v>
      </c>
      <c r="E79" s="12">
        <v>2024</v>
      </c>
      <c r="F79" s="7">
        <v>507</v>
      </c>
      <c r="G79" s="181">
        <v>279</v>
      </c>
    </row>
    <row r="80" spans="1:7" ht="22.5" x14ac:dyDescent="0.25">
      <c r="A80" s="51"/>
      <c r="B80" s="60" t="s">
        <v>3</v>
      </c>
      <c r="C80" s="6" t="s">
        <v>29</v>
      </c>
      <c r="D80" s="6" t="s">
        <v>35</v>
      </c>
      <c r="E80" s="12">
        <v>2024</v>
      </c>
      <c r="F80" s="7">
        <v>4190</v>
      </c>
      <c r="G80" s="181">
        <v>207</v>
      </c>
    </row>
    <row r="81" spans="1:7" ht="22.5" x14ac:dyDescent="0.25">
      <c r="A81" s="51"/>
      <c r="B81" s="60" t="s">
        <v>3</v>
      </c>
      <c r="C81" s="6" t="s">
        <v>30</v>
      </c>
      <c r="D81" s="6" t="s">
        <v>35</v>
      </c>
      <c r="E81" s="12">
        <v>2024</v>
      </c>
      <c r="F81" s="7">
        <v>23710</v>
      </c>
      <c r="G81" s="181">
        <v>8000</v>
      </c>
    </row>
    <row r="82" spans="1:7" ht="15.75" x14ac:dyDescent="0.25">
      <c r="A82" s="51"/>
      <c r="B82" s="60" t="s">
        <v>3</v>
      </c>
      <c r="C82" s="6" t="s">
        <v>31</v>
      </c>
      <c r="D82" s="6" t="s">
        <v>35</v>
      </c>
      <c r="E82" s="12">
        <v>2024</v>
      </c>
      <c r="F82" s="7">
        <v>1800</v>
      </c>
      <c r="G82" s="181">
        <v>1600</v>
      </c>
    </row>
    <row r="83" spans="1:7" ht="15.75" x14ac:dyDescent="0.25">
      <c r="A83" s="51"/>
      <c r="B83" s="60" t="s">
        <v>3</v>
      </c>
      <c r="C83" s="6" t="s">
        <v>32</v>
      </c>
      <c r="D83" s="6" t="s">
        <v>35</v>
      </c>
      <c r="E83" s="12">
        <v>2024</v>
      </c>
      <c r="F83" s="7">
        <v>1190.1814399999998</v>
      </c>
      <c r="G83" s="181">
        <v>0</v>
      </c>
    </row>
    <row r="84" spans="1:7" s="18" customFormat="1" ht="15.75" x14ac:dyDescent="0.25">
      <c r="A84" s="52"/>
      <c r="B84" s="59" t="s">
        <v>72</v>
      </c>
      <c r="C84" s="14" t="s">
        <v>34</v>
      </c>
      <c r="D84" s="16" t="s">
        <v>35</v>
      </c>
      <c r="E84" s="12">
        <v>2024</v>
      </c>
      <c r="F84" s="17">
        <v>1238370.83571</v>
      </c>
      <c r="G84" s="157">
        <v>926457.4</v>
      </c>
    </row>
    <row r="85" spans="1:7" s="19" customFormat="1" ht="15.75" x14ac:dyDescent="0.25">
      <c r="A85" s="53"/>
      <c r="B85" s="55" t="s">
        <v>71</v>
      </c>
      <c r="C85" s="21" t="s">
        <v>46</v>
      </c>
      <c r="D85" s="25" t="s">
        <v>67</v>
      </c>
      <c r="E85" s="12">
        <v>2024</v>
      </c>
      <c r="F85" s="22">
        <v>1742298.6461500002</v>
      </c>
      <c r="G85" s="160">
        <v>1311000.3999999999</v>
      </c>
    </row>
    <row r="86" spans="1:7" ht="15.75" x14ac:dyDescent="0.25">
      <c r="A86" s="51"/>
      <c r="B86" s="62" t="s">
        <v>7</v>
      </c>
      <c r="C86" s="23" t="s">
        <v>42</v>
      </c>
      <c r="D86" s="25" t="s">
        <v>67</v>
      </c>
      <c r="E86" s="12">
        <v>2024</v>
      </c>
      <c r="F86" s="44">
        <v>964740.96389999997</v>
      </c>
      <c r="G86" s="159">
        <v>850104.7</v>
      </c>
    </row>
    <row r="87" spans="1:7" ht="15.75" x14ac:dyDescent="0.25">
      <c r="A87" s="51"/>
      <c r="B87" s="62" t="s">
        <v>7</v>
      </c>
      <c r="C87" s="23" t="s">
        <v>41</v>
      </c>
      <c r="D87" s="25" t="s">
        <v>67</v>
      </c>
      <c r="E87" s="12">
        <v>2024</v>
      </c>
      <c r="F87" s="44">
        <v>361916.36574000004</v>
      </c>
      <c r="G87" s="159">
        <v>47674.5</v>
      </c>
    </row>
    <row r="88" spans="1:7" ht="15.75" x14ac:dyDescent="0.25">
      <c r="A88" s="51"/>
      <c r="B88" s="62" t="s">
        <v>7</v>
      </c>
      <c r="C88" s="23" t="s">
        <v>40</v>
      </c>
      <c r="D88" s="25" t="s">
        <v>67</v>
      </c>
      <c r="E88" s="12">
        <v>2024</v>
      </c>
      <c r="F88" s="44">
        <v>115789.781</v>
      </c>
      <c r="G88" s="159">
        <v>122226.6</v>
      </c>
    </row>
    <row r="89" spans="1:7" ht="15.75" x14ac:dyDescent="0.25">
      <c r="A89" s="51"/>
      <c r="B89" s="62" t="s">
        <v>7</v>
      </c>
      <c r="C89" s="24" t="s">
        <v>213</v>
      </c>
      <c r="D89" s="25" t="s">
        <v>67</v>
      </c>
      <c r="E89" s="12">
        <v>2024</v>
      </c>
      <c r="F89" s="44">
        <v>115789.781</v>
      </c>
      <c r="G89" s="159">
        <v>114015</v>
      </c>
    </row>
    <row r="90" spans="1:7" ht="15.75" x14ac:dyDescent="0.25">
      <c r="A90" s="51"/>
      <c r="B90" s="62" t="s">
        <v>7</v>
      </c>
      <c r="C90" s="23" t="s">
        <v>39</v>
      </c>
      <c r="D90" s="25" t="s">
        <v>67</v>
      </c>
      <c r="E90" s="12">
        <v>2024</v>
      </c>
      <c r="F90" s="44">
        <v>97971.646349999995</v>
      </c>
      <c r="G90" s="159">
        <v>147808.5</v>
      </c>
    </row>
    <row r="91" spans="1:7" s="174" customFormat="1" ht="15.75" x14ac:dyDescent="0.25">
      <c r="B91" s="175" t="s">
        <v>7</v>
      </c>
      <c r="C91" s="176" t="s">
        <v>207</v>
      </c>
      <c r="D91" s="177" t="s">
        <v>67</v>
      </c>
      <c r="E91" s="12">
        <v>2024</v>
      </c>
      <c r="F91" s="178"/>
      <c r="G91" s="179">
        <f>G84+G77+G60-G85</f>
        <v>-31427.399999999907</v>
      </c>
    </row>
    <row r="92" spans="1:7" s="174" customFormat="1" ht="15.75" x14ac:dyDescent="0.25">
      <c r="B92" s="175" t="s">
        <v>7</v>
      </c>
      <c r="C92" s="176" t="s">
        <v>210</v>
      </c>
      <c r="D92" s="177" t="s">
        <v>67</v>
      </c>
      <c r="E92" s="12">
        <v>2024</v>
      </c>
      <c r="F92" s="178"/>
      <c r="G92" s="193">
        <v>2024</v>
      </c>
    </row>
    <row r="93" spans="1:7" ht="15.75" x14ac:dyDescent="0.25">
      <c r="A93" s="51"/>
      <c r="B93" s="62" t="s">
        <v>7</v>
      </c>
      <c r="C93" s="23" t="s">
        <v>44</v>
      </c>
      <c r="D93" s="25" t="s">
        <v>67</v>
      </c>
      <c r="E93" s="12">
        <v>2024</v>
      </c>
      <c r="F93" s="44">
        <v>78262.200319999989</v>
      </c>
      <c r="G93" s="159">
        <v>18467.2</v>
      </c>
    </row>
    <row r="94" spans="1:7" ht="15.75" x14ac:dyDescent="0.25">
      <c r="A94" s="51"/>
      <c r="B94" s="62" t="s">
        <v>7</v>
      </c>
      <c r="C94" s="23" t="s">
        <v>43</v>
      </c>
      <c r="D94" s="25" t="s">
        <v>67</v>
      </c>
      <c r="E94" s="12">
        <v>2024</v>
      </c>
      <c r="F94" s="44">
        <v>58219.620659999993</v>
      </c>
      <c r="G94" s="159">
        <v>101950.39999999999</v>
      </c>
    </row>
    <row r="95" spans="1:7" ht="15.75" x14ac:dyDescent="0.25">
      <c r="A95" s="51"/>
      <c r="B95" s="62" t="s">
        <v>7</v>
      </c>
      <c r="C95" s="23" t="s">
        <v>45</v>
      </c>
      <c r="D95" s="25" t="s">
        <v>67</v>
      </c>
      <c r="E95" s="12">
        <v>2024</v>
      </c>
      <c r="F95" s="44">
        <v>44740.686390000003</v>
      </c>
      <c r="G95" s="159">
        <v>4215.6000000000004</v>
      </c>
    </row>
    <row r="96" spans="1:7" ht="15.75" x14ac:dyDescent="0.25">
      <c r="A96" s="51"/>
      <c r="B96" s="62" t="s">
        <v>7</v>
      </c>
      <c r="C96" s="24" t="s">
        <v>47</v>
      </c>
      <c r="D96" s="25" t="s">
        <v>67</v>
      </c>
      <c r="E96" s="12">
        <v>2024</v>
      </c>
      <c r="F96" s="44">
        <v>20657.381789999999</v>
      </c>
      <c r="G96" s="159">
        <v>18552.8</v>
      </c>
    </row>
    <row r="97" spans="1:8" ht="15.75" x14ac:dyDescent="0.25">
      <c r="A97" s="51"/>
      <c r="B97" s="58" t="s">
        <v>75</v>
      </c>
      <c r="C97" s="42" t="s">
        <v>78</v>
      </c>
      <c r="D97" s="39" t="s">
        <v>67</v>
      </c>
      <c r="E97" s="12">
        <v>2024</v>
      </c>
      <c r="F97" s="44">
        <f>SUM(F98:F114)</f>
        <v>1721105.75024</v>
      </c>
      <c r="G97" s="44">
        <f>SUM(G98:G114)</f>
        <v>1302224.2</v>
      </c>
    </row>
    <row r="98" spans="1:8" ht="22.5" x14ac:dyDescent="0.25">
      <c r="A98" s="51"/>
      <c r="B98" s="62" t="s">
        <v>48</v>
      </c>
      <c r="C98" s="10" t="s">
        <v>50</v>
      </c>
      <c r="D98" s="25" t="s">
        <v>67</v>
      </c>
      <c r="E98" s="12">
        <v>2024</v>
      </c>
      <c r="F98" s="9">
        <v>13615.08288</v>
      </c>
      <c r="G98" s="68"/>
      <c r="H98" s="20"/>
    </row>
    <row r="99" spans="1:8" ht="22.5" x14ac:dyDescent="0.25">
      <c r="A99" s="51"/>
      <c r="B99" s="62" t="s">
        <v>48</v>
      </c>
      <c r="C99" s="10" t="s">
        <v>51</v>
      </c>
      <c r="D99" s="25" t="s">
        <v>67</v>
      </c>
      <c r="E99" s="12">
        <v>2024</v>
      </c>
      <c r="F99" s="9">
        <v>4149</v>
      </c>
      <c r="G99" s="158">
        <v>153670.5</v>
      </c>
    </row>
    <row r="100" spans="1:8" ht="33.75" x14ac:dyDescent="0.25">
      <c r="A100" s="51"/>
      <c r="B100" s="62" t="s">
        <v>48</v>
      </c>
      <c r="C100" s="10" t="s">
        <v>52</v>
      </c>
      <c r="D100" s="25" t="s">
        <v>67</v>
      </c>
      <c r="E100" s="12">
        <v>2024</v>
      </c>
      <c r="F100" s="9">
        <v>6968.8220000000001</v>
      </c>
      <c r="G100" s="158">
        <v>0</v>
      </c>
    </row>
    <row r="101" spans="1:8" ht="22.5" x14ac:dyDescent="0.25">
      <c r="A101" s="51"/>
      <c r="B101" s="62" t="s">
        <v>48</v>
      </c>
      <c r="C101" s="10" t="s">
        <v>53</v>
      </c>
      <c r="D101" s="25" t="s">
        <v>67</v>
      </c>
      <c r="E101" s="12">
        <v>2024</v>
      </c>
      <c r="F101" s="9">
        <v>97244.800000000003</v>
      </c>
      <c r="G101" s="158">
        <v>10</v>
      </c>
    </row>
    <row r="102" spans="1:8" ht="22.5" x14ac:dyDescent="0.25">
      <c r="A102" s="51"/>
      <c r="B102" s="62" t="s">
        <v>48</v>
      </c>
      <c r="C102" s="10" t="s">
        <v>54</v>
      </c>
      <c r="D102" s="25" t="s">
        <v>67</v>
      </c>
      <c r="E102" s="12">
        <v>2024</v>
      </c>
      <c r="F102" s="9">
        <v>2062.5</v>
      </c>
      <c r="G102" s="158">
        <v>12375.4</v>
      </c>
    </row>
    <row r="103" spans="1:8" ht="22.5" x14ac:dyDescent="0.25">
      <c r="A103" s="51"/>
      <c r="B103" s="62" t="s">
        <v>48</v>
      </c>
      <c r="C103" s="10" t="s">
        <v>55</v>
      </c>
      <c r="D103" s="25" t="s">
        <v>67</v>
      </c>
      <c r="E103" s="12">
        <v>2024</v>
      </c>
      <c r="F103" s="9">
        <v>85</v>
      </c>
      <c r="G103" s="158">
        <v>50</v>
      </c>
    </row>
    <row r="104" spans="1:8" ht="15.75" x14ac:dyDescent="0.25">
      <c r="A104" s="51"/>
      <c r="B104" s="62" t="s">
        <v>48</v>
      </c>
      <c r="C104" s="10" t="s">
        <v>56</v>
      </c>
      <c r="D104" s="25" t="s">
        <v>67</v>
      </c>
      <c r="E104" s="12">
        <v>2024</v>
      </c>
      <c r="F104" s="9">
        <v>947718.38205999997</v>
      </c>
      <c r="G104" s="158">
        <v>371</v>
      </c>
    </row>
    <row r="105" spans="1:8" ht="22.5" x14ac:dyDescent="0.25">
      <c r="A105" s="51"/>
      <c r="B105" s="62" t="s">
        <v>48</v>
      </c>
      <c r="C105" s="10" t="s">
        <v>57</v>
      </c>
      <c r="D105" s="25" t="s">
        <v>67</v>
      </c>
      <c r="E105" s="12">
        <v>2024</v>
      </c>
      <c r="F105" s="9">
        <v>22801.61</v>
      </c>
      <c r="G105" s="158">
        <v>146701.9</v>
      </c>
    </row>
    <row r="106" spans="1:8" ht="22.5" x14ac:dyDescent="0.25">
      <c r="A106" s="51"/>
      <c r="B106" s="62" t="s">
        <v>48</v>
      </c>
      <c r="C106" s="10" t="s">
        <v>58</v>
      </c>
      <c r="D106" s="25" t="s">
        <v>67</v>
      </c>
      <c r="E106" s="12">
        <v>2024</v>
      </c>
      <c r="F106" s="9">
        <v>104041.31240000001</v>
      </c>
      <c r="G106" s="158">
        <v>1278.5</v>
      </c>
    </row>
    <row r="107" spans="1:8" ht="22.5" x14ac:dyDescent="0.25">
      <c r="A107" s="51"/>
      <c r="B107" s="62" t="s">
        <v>48</v>
      </c>
      <c r="C107" s="10" t="s">
        <v>59</v>
      </c>
      <c r="D107" s="25" t="s">
        <v>67</v>
      </c>
      <c r="E107" s="12">
        <v>2024</v>
      </c>
      <c r="F107" s="9">
        <v>61330.601299999995</v>
      </c>
      <c r="G107" s="158">
        <v>8211.1</v>
      </c>
    </row>
    <row r="108" spans="1:8" ht="22.5" x14ac:dyDescent="0.25">
      <c r="A108" s="51"/>
      <c r="B108" s="62" t="s">
        <v>48</v>
      </c>
      <c r="C108" s="10" t="s">
        <v>60</v>
      </c>
      <c r="D108" s="25" t="s">
        <v>67</v>
      </c>
      <c r="E108" s="12">
        <v>2024</v>
      </c>
      <c r="F108" s="9">
        <v>44740.686390000003</v>
      </c>
      <c r="G108" s="158">
        <v>85</v>
      </c>
    </row>
    <row r="109" spans="1:8" ht="22.5" x14ac:dyDescent="0.25">
      <c r="A109" s="51"/>
      <c r="B109" s="62" t="s">
        <v>48</v>
      </c>
      <c r="C109" s="10" t="s">
        <v>49</v>
      </c>
      <c r="D109" s="25" t="s">
        <v>67</v>
      </c>
      <c r="E109" s="12">
        <v>2024</v>
      </c>
      <c r="F109" s="9">
        <v>10551.834999999999</v>
      </c>
      <c r="G109" s="158">
        <v>4999.2</v>
      </c>
    </row>
    <row r="110" spans="1:8" ht="33.75" x14ac:dyDescent="0.25">
      <c r="A110" s="51"/>
      <c r="B110" s="62" t="s">
        <v>48</v>
      </c>
      <c r="C110" s="10" t="s">
        <v>61</v>
      </c>
      <c r="D110" s="25" t="s">
        <v>67</v>
      </c>
      <c r="E110" s="12">
        <v>2024</v>
      </c>
      <c r="F110" s="9">
        <v>231114.55741000001</v>
      </c>
      <c r="G110" s="158">
        <v>4395.6000000000004</v>
      </c>
    </row>
    <row r="111" spans="1:8" ht="33.75" x14ac:dyDescent="0.25">
      <c r="A111" s="51"/>
      <c r="B111" s="62" t="s">
        <v>48</v>
      </c>
      <c r="C111" s="10" t="s">
        <v>62</v>
      </c>
      <c r="D111" s="25" t="s">
        <v>67</v>
      </c>
      <c r="E111" s="12">
        <v>2024</v>
      </c>
      <c r="F111" s="9">
        <v>9361.5236800000002</v>
      </c>
      <c r="G111" s="158">
        <v>12308.3</v>
      </c>
    </row>
    <row r="112" spans="1:8" ht="56.25" x14ac:dyDescent="0.25">
      <c r="A112" s="51"/>
      <c r="B112" s="62" t="s">
        <v>48</v>
      </c>
      <c r="C112" s="10" t="s">
        <v>63</v>
      </c>
      <c r="D112" s="25" t="s">
        <v>67</v>
      </c>
      <c r="E112" s="12">
        <v>2024</v>
      </c>
      <c r="F112" s="9">
        <v>16195.361000000001</v>
      </c>
      <c r="G112" s="158">
        <v>103671.4</v>
      </c>
    </row>
    <row r="113" spans="1:7" ht="22.5" x14ac:dyDescent="0.25">
      <c r="A113" s="51"/>
      <c r="B113" s="62" t="s">
        <v>48</v>
      </c>
      <c r="C113" s="10" t="s">
        <v>64</v>
      </c>
      <c r="D113" s="25" t="s">
        <v>67</v>
      </c>
      <c r="E113" s="12">
        <v>2024</v>
      </c>
      <c r="F113" s="9">
        <v>70794.109299999996</v>
      </c>
      <c r="G113" s="158">
        <v>1140</v>
      </c>
    </row>
    <row r="114" spans="1:7" ht="33.75" x14ac:dyDescent="0.25">
      <c r="A114" s="51"/>
      <c r="B114" s="62" t="s">
        <v>48</v>
      </c>
      <c r="C114" s="10" t="s">
        <v>65</v>
      </c>
      <c r="D114" s="25" t="s">
        <v>67</v>
      </c>
      <c r="E114" s="12">
        <v>2024</v>
      </c>
      <c r="F114" s="9">
        <v>78330.566819999993</v>
      </c>
      <c r="G114" s="158">
        <v>852956.3</v>
      </c>
    </row>
    <row r="115" spans="1:7" ht="33.75" x14ac:dyDescent="0.25">
      <c r="A115" s="51"/>
      <c r="B115" s="58" t="s">
        <v>48</v>
      </c>
      <c r="C115" s="54" t="s">
        <v>102</v>
      </c>
      <c r="D115" s="39" t="s">
        <v>67</v>
      </c>
      <c r="E115" s="12">
        <v>2024</v>
      </c>
      <c r="F115" s="35">
        <v>0</v>
      </c>
      <c r="G115" s="65">
        <v>0</v>
      </c>
    </row>
    <row r="116" spans="1:7" ht="15.75" x14ac:dyDescent="0.25">
      <c r="A116" s="51"/>
      <c r="B116" s="58" t="s">
        <v>76</v>
      </c>
      <c r="C116" s="42" t="s">
        <v>77</v>
      </c>
      <c r="D116" s="39" t="s">
        <v>67</v>
      </c>
      <c r="E116" s="12">
        <v>2024</v>
      </c>
      <c r="F116" s="9">
        <f>F117</f>
        <v>21192.895909999999</v>
      </c>
      <c r="G116" s="183">
        <f>G117</f>
        <v>8776.2000000000007</v>
      </c>
    </row>
    <row r="117" spans="1:7" ht="15.75" x14ac:dyDescent="0.25">
      <c r="A117" s="51"/>
      <c r="B117" s="62" t="s">
        <v>48</v>
      </c>
      <c r="C117" s="10" t="s">
        <v>66</v>
      </c>
      <c r="D117" s="25" t="s">
        <v>67</v>
      </c>
      <c r="E117" s="12">
        <v>2024</v>
      </c>
      <c r="F117" s="9">
        <v>21192.895909999999</v>
      </c>
      <c r="G117" s="182">
        <v>8776.2000000000007</v>
      </c>
    </row>
    <row r="118" spans="1:7" ht="15.75" x14ac:dyDescent="0.25">
      <c r="A118" s="49"/>
      <c r="B118" s="55" t="s">
        <v>69</v>
      </c>
      <c r="C118" s="26" t="s">
        <v>37</v>
      </c>
      <c r="D118" s="26" t="s">
        <v>35</v>
      </c>
      <c r="E118" s="26">
        <v>2025</v>
      </c>
      <c r="F118" s="27">
        <v>425403.2</v>
      </c>
      <c r="G118" s="63">
        <v>337753.3</v>
      </c>
    </row>
    <row r="119" spans="1:7" ht="15.75" x14ac:dyDescent="0.25">
      <c r="A119" s="49"/>
      <c r="B119" s="56" t="s">
        <v>1</v>
      </c>
      <c r="C119" s="29" t="s">
        <v>2</v>
      </c>
      <c r="D119" s="29" t="s">
        <v>35</v>
      </c>
      <c r="E119" s="26">
        <v>2025</v>
      </c>
      <c r="F119" s="30">
        <v>295100</v>
      </c>
      <c r="G119" s="156">
        <v>255000</v>
      </c>
    </row>
    <row r="120" spans="1:7" ht="22.5" x14ac:dyDescent="0.25">
      <c r="A120" s="49"/>
      <c r="B120" s="56" t="s">
        <v>1</v>
      </c>
      <c r="C120" s="29" t="s">
        <v>13</v>
      </c>
      <c r="D120" s="29" t="s">
        <v>35</v>
      </c>
      <c r="E120" s="26">
        <v>2025</v>
      </c>
      <c r="F120" s="30">
        <v>8821.2000000000007</v>
      </c>
      <c r="G120" s="156">
        <v>40337.199999999997</v>
      </c>
    </row>
    <row r="121" spans="1:7" ht="15.75" x14ac:dyDescent="0.25">
      <c r="A121" s="49"/>
      <c r="B121" s="56" t="s">
        <v>1</v>
      </c>
      <c r="C121" s="29" t="s">
        <v>14</v>
      </c>
      <c r="D121" s="29" t="s">
        <v>35</v>
      </c>
      <c r="E121" s="26">
        <v>2025</v>
      </c>
      <c r="F121" s="30">
        <v>58472</v>
      </c>
      <c r="G121" s="156">
        <v>10300</v>
      </c>
    </row>
    <row r="122" spans="1:7" ht="22.5" x14ac:dyDescent="0.25">
      <c r="A122" s="49"/>
      <c r="B122" s="57" t="s">
        <v>1</v>
      </c>
      <c r="C122" s="32" t="s">
        <v>15</v>
      </c>
      <c r="D122" s="32" t="s">
        <v>35</v>
      </c>
      <c r="E122" s="26">
        <v>2025</v>
      </c>
      <c r="F122" s="33">
        <v>49400</v>
      </c>
      <c r="G122" s="182"/>
    </row>
    <row r="123" spans="1:7" ht="22.5" x14ac:dyDescent="0.25">
      <c r="A123" s="49"/>
      <c r="B123" s="57" t="s">
        <v>1</v>
      </c>
      <c r="C123" s="32" t="s">
        <v>16</v>
      </c>
      <c r="D123" s="32" t="s">
        <v>35</v>
      </c>
      <c r="E123" s="26">
        <v>2025</v>
      </c>
      <c r="F123" s="33">
        <v>0</v>
      </c>
      <c r="G123" s="182"/>
    </row>
    <row r="124" spans="1:7" ht="15.75" x14ac:dyDescent="0.25">
      <c r="A124" s="49"/>
      <c r="B124" s="57" t="s">
        <v>1</v>
      </c>
      <c r="C124" s="32" t="s">
        <v>17</v>
      </c>
      <c r="D124" s="32" t="s">
        <v>35</v>
      </c>
      <c r="E124" s="26">
        <v>2025</v>
      </c>
      <c r="F124" s="33">
        <v>72</v>
      </c>
      <c r="G124" s="182"/>
    </row>
    <row r="125" spans="1:7" ht="22.5" x14ac:dyDescent="0.25">
      <c r="A125" s="49"/>
      <c r="B125" s="57" t="s">
        <v>1</v>
      </c>
      <c r="C125" s="32" t="s">
        <v>18</v>
      </c>
      <c r="D125" s="32" t="s">
        <v>35</v>
      </c>
      <c r="E125" s="26">
        <v>2025</v>
      </c>
      <c r="F125" s="33">
        <v>9000</v>
      </c>
      <c r="G125" s="182"/>
    </row>
    <row r="126" spans="1:7" ht="15.75" x14ac:dyDescent="0.25">
      <c r="A126" s="49"/>
      <c r="B126" s="56" t="s">
        <v>1</v>
      </c>
      <c r="C126" s="29" t="s">
        <v>19</v>
      </c>
      <c r="D126" s="29" t="s">
        <v>35</v>
      </c>
      <c r="E126" s="26">
        <v>2025</v>
      </c>
      <c r="F126" s="30">
        <v>53700</v>
      </c>
      <c r="G126" s="156">
        <v>29600</v>
      </c>
    </row>
    <row r="127" spans="1:7" ht="15.75" x14ac:dyDescent="0.25">
      <c r="A127" s="49"/>
      <c r="B127" s="58" t="s">
        <v>1</v>
      </c>
      <c r="C127" s="34" t="s">
        <v>20</v>
      </c>
      <c r="D127" s="34" t="s">
        <v>35</v>
      </c>
      <c r="E127" s="26">
        <v>2025</v>
      </c>
      <c r="F127" s="35">
        <v>21400</v>
      </c>
      <c r="G127" s="158"/>
    </row>
    <row r="128" spans="1:7" ht="15.75" x14ac:dyDescent="0.25">
      <c r="A128" s="49"/>
      <c r="B128" s="58" t="s">
        <v>1</v>
      </c>
      <c r="C128" s="34" t="s">
        <v>21</v>
      </c>
      <c r="D128" s="34" t="s">
        <v>35</v>
      </c>
      <c r="E128" s="26">
        <v>2025</v>
      </c>
      <c r="F128" s="35">
        <v>2500</v>
      </c>
      <c r="G128" s="158"/>
    </row>
    <row r="129" spans="1:7" ht="15.75" x14ac:dyDescent="0.25">
      <c r="A129" s="49"/>
      <c r="B129" s="58" t="s">
        <v>1</v>
      </c>
      <c r="C129" s="34" t="s">
        <v>22</v>
      </c>
      <c r="D129" s="34" t="s">
        <v>35</v>
      </c>
      <c r="E129" s="26">
        <v>2025</v>
      </c>
      <c r="F129" s="35">
        <v>29800</v>
      </c>
      <c r="G129" s="158"/>
    </row>
    <row r="130" spans="1:7" ht="15.75" x14ac:dyDescent="0.25">
      <c r="A130" s="49"/>
      <c r="B130" s="57" t="s">
        <v>1</v>
      </c>
      <c r="C130" s="32" t="s">
        <v>23</v>
      </c>
      <c r="D130" s="32" t="s">
        <v>35</v>
      </c>
      <c r="E130" s="26">
        <v>2025</v>
      </c>
      <c r="F130" s="33">
        <v>26500</v>
      </c>
      <c r="G130" s="182"/>
    </row>
    <row r="131" spans="1:7" ht="15.75" x14ac:dyDescent="0.25">
      <c r="A131" s="49"/>
      <c r="B131" s="57" t="s">
        <v>1</v>
      </c>
      <c r="C131" s="32" t="s">
        <v>24</v>
      </c>
      <c r="D131" s="32" t="s">
        <v>35</v>
      </c>
      <c r="E131" s="26">
        <v>2025</v>
      </c>
      <c r="F131" s="33">
        <v>3300</v>
      </c>
      <c r="G131" s="182"/>
    </row>
    <row r="132" spans="1:7" ht="15.75" x14ac:dyDescent="0.25">
      <c r="A132" s="49"/>
      <c r="B132" s="56" t="s">
        <v>1</v>
      </c>
      <c r="C132" s="29" t="s">
        <v>25</v>
      </c>
      <c r="D132" s="29" t="s">
        <v>35</v>
      </c>
      <c r="E132" s="26">
        <v>2025</v>
      </c>
      <c r="F132" s="30">
        <v>0</v>
      </c>
      <c r="G132" s="156">
        <v>1</v>
      </c>
    </row>
    <row r="133" spans="1:7" ht="15.75" x14ac:dyDescent="0.25">
      <c r="A133" s="49"/>
      <c r="B133" s="56" t="s">
        <v>1</v>
      </c>
      <c r="C133" s="29" t="s">
        <v>26</v>
      </c>
      <c r="D133" s="29" t="s">
        <v>35</v>
      </c>
      <c r="E133" s="26">
        <v>2025</v>
      </c>
      <c r="F133" s="30">
        <v>9310</v>
      </c>
      <c r="G133" s="156">
        <v>2515</v>
      </c>
    </row>
    <row r="134" spans="1:7" ht="22.5" x14ac:dyDescent="0.25">
      <c r="A134" s="49"/>
      <c r="B134" s="56" t="s">
        <v>1</v>
      </c>
      <c r="C134" s="29" t="s">
        <v>36</v>
      </c>
      <c r="D134" s="29" t="s">
        <v>35</v>
      </c>
      <c r="E134" s="26">
        <v>2025</v>
      </c>
      <c r="F134" s="30">
        <v>0</v>
      </c>
      <c r="G134" s="156">
        <v>0</v>
      </c>
    </row>
    <row r="135" spans="1:7" ht="15.75" x14ac:dyDescent="0.25">
      <c r="A135" s="49"/>
      <c r="B135" s="55" t="s">
        <v>70</v>
      </c>
      <c r="C135" s="26" t="s">
        <v>38</v>
      </c>
      <c r="D135" s="26" t="s">
        <v>35</v>
      </c>
      <c r="E135" s="26">
        <v>2025</v>
      </c>
      <c r="F135" s="27">
        <v>78170.864329999982</v>
      </c>
      <c r="G135" s="157">
        <v>16948</v>
      </c>
    </row>
    <row r="136" spans="1:7" ht="22.5" x14ac:dyDescent="0.25">
      <c r="A136" s="49"/>
      <c r="B136" s="56" t="s">
        <v>3</v>
      </c>
      <c r="C136" s="29" t="s">
        <v>27</v>
      </c>
      <c r="D136" s="29" t="s">
        <v>35</v>
      </c>
      <c r="E136" s="26">
        <v>2025</v>
      </c>
      <c r="F136" s="30">
        <v>46299.6</v>
      </c>
      <c r="G136" s="156">
        <v>7956</v>
      </c>
    </row>
    <row r="137" spans="1:7" ht="15.75" x14ac:dyDescent="0.25">
      <c r="A137" s="49"/>
      <c r="B137" s="56" t="s">
        <v>3</v>
      </c>
      <c r="C137" s="29" t="s">
        <v>28</v>
      </c>
      <c r="D137" s="29" t="s">
        <v>35</v>
      </c>
      <c r="E137" s="26">
        <v>2025</v>
      </c>
      <c r="F137" s="30">
        <v>239.7</v>
      </c>
      <c r="G137" s="156">
        <v>279</v>
      </c>
    </row>
    <row r="138" spans="1:7" ht="22.5" x14ac:dyDescent="0.25">
      <c r="A138" s="49"/>
      <c r="B138" s="56" t="s">
        <v>3</v>
      </c>
      <c r="C138" s="29" t="s">
        <v>29</v>
      </c>
      <c r="D138" s="29" t="s">
        <v>35</v>
      </c>
      <c r="E138" s="26">
        <v>2025</v>
      </c>
      <c r="F138" s="30">
        <v>10279</v>
      </c>
      <c r="G138" s="156">
        <v>113</v>
      </c>
    </row>
    <row r="139" spans="1:7" ht="22.5" x14ac:dyDescent="0.25">
      <c r="A139" s="49"/>
      <c r="B139" s="56" t="s">
        <v>3</v>
      </c>
      <c r="C139" s="29" t="s">
        <v>30</v>
      </c>
      <c r="D139" s="29" t="s">
        <v>35</v>
      </c>
      <c r="E139" s="26">
        <v>2025</v>
      </c>
      <c r="F139" s="30">
        <v>14575</v>
      </c>
      <c r="G139" s="156">
        <v>7000</v>
      </c>
    </row>
    <row r="140" spans="1:7" ht="15.75" x14ac:dyDescent="0.25">
      <c r="A140" s="49"/>
      <c r="B140" s="56" t="s">
        <v>3</v>
      </c>
      <c r="C140" s="29" t="s">
        <v>31</v>
      </c>
      <c r="D140" s="29" t="s">
        <v>35</v>
      </c>
      <c r="E140" s="26">
        <v>2025</v>
      </c>
      <c r="F140" s="30">
        <v>2518.386</v>
      </c>
      <c r="G140" s="156">
        <v>1600</v>
      </c>
    </row>
    <row r="141" spans="1:7" ht="15.75" x14ac:dyDescent="0.25">
      <c r="A141" s="49"/>
      <c r="B141" s="56" t="s">
        <v>3</v>
      </c>
      <c r="C141" s="29" t="s">
        <v>32</v>
      </c>
      <c r="D141" s="29" t="s">
        <v>35</v>
      </c>
      <c r="E141" s="26">
        <v>2025</v>
      </c>
      <c r="F141" s="30">
        <v>4259.1783299999997</v>
      </c>
      <c r="G141" s="156">
        <v>0</v>
      </c>
    </row>
    <row r="142" spans="1:7" ht="15.75" x14ac:dyDescent="0.25">
      <c r="A142" s="49"/>
      <c r="B142" s="59" t="s">
        <v>72</v>
      </c>
      <c r="C142" s="36" t="s">
        <v>34</v>
      </c>
      <c r="D142" s="37" t="s">
        <v>35</v>
      </c>
      <c r="E142" s="26">
        <v>2025</v>
      </c>
      <c r="F142" s="27">
        <v>1379911.49978</v>
      </c>
      <c r="G142" s="157">
        <v>845938</v>
      </c>
    </row>
    <row r="143" spans="1:7" ht="15.75" x14ac:dyDescent="0.25">
      <c r="A143" s="49"/>
      <c r="B143" s="55" t="s">
        <v>71</v>
      </c>
      <c r="C143" s="38" t="s">
        <v>46</v>
      </c>
      <c r="D143" s="39" t="s">
        <v>67</v>
      </c>
      <c r="E143" s="26">
        <v>2025</v>
      </c>
      <c r="F143" s="40">
        <v>1893187.4174800003</v>
      </c>
      <c r="G143" s="66">
        <v>1200639.3</v>
      </c>
    </row>
    <row r="144" spans="1:7" ht="15.75" x14ac:dyDescent="0.25">
      <c r="A144" s="49"/>
      <c r="B144" s="58" t="s">
        <v>7</v>
      </c>
      <c r="C144" s="42" t="s">
        <v>42</v>
      </c>
      <c r="D144" s="39" t="s">
        <v>67</v>
      </c>
      <c r="E144" s="26">
        <v>2025</v>
      </c>
      <c r="F144" s="48">
        <v>949338.94836000004</v>
      </c>
      <c r="G144" s="159">
        <v>802608</v>
      </c>
    </row>
    <row r="145" spans="1:7" ht="15.75" x14ac:dyDescent="0.25">
      <c r="A145" s="49"/>
      <c r="B145" s="58" t="s">
        <v>7</v>
      </c>
      <c r="C145" s="42" t="s">
        <v>41</v>
      </c>
      <c r="D145" s="39" t="s">
        <v>67</v>
      </c>
      <c r="E145" s="26">
        <v>2025</v>
      </c>
      <c r="F145" s="48">
        <v>464880.22504000005</v>
      </c>
      <c r="G145" s="159">
        <v>19183.900000000001</v>
      </c>
    </row>
    <row r="146" spans="1:7" ht="15.75" x14ac:dyDescent="0.25">
      <c r="A146" s="49"/>
      <c r="B146" s="58" t="s">
        <v>7</v>
      </c>
      <c r="C146" s="42" t="s">
        <v>40</v>
      </c>
      <c r="D146" s="39" t="s">
        <v>67</v>
      </c>
      <c r="E146" s="26">
        <v>2025</v>
      </c>
      <c r="F146" s="48">
        <v>146655.59240999998</v>
      </c>
      <c r="G146" s="159">
        <v>110435.4</v>
      </c>
    </row>
    <row r="147" spans="1:7" ht="15.75" x14ac:dyDescent="0.25">
      <c r="A147" s="49"/>
      <c r="B147" s="58" t="s">
        <v>7</v>
      </c>
      <c r="C147" s="42" t="s">
        <v>213</v>
      </c>
      <c r="D147" s="39" t="s">
        <v>67</v>
      </c>
      <c r="E147" s="26">
        <v>2025</v>
      </c>
      <c r="F147" s="48">
        <v>146655.59240999998</v>
      </c>
      <c r="G147" s="159">
        <v>114015</v>
      </c>
    </row>
    <row r="148" spans="1:7" ht="15.75" x14ac:dyDescent="0.25">
      <c r="A148" s="49"/>
      <c r="B148" s="58" t="s">
        <v>7</v>
      </c>
      <c r="C148" s="42" t="s">
        <v>39</v>
      </c>
      <c r="D148" s="39" t="s">
        <v>67</v>
      </c>
      <c r="E148" s="26">
        <v>2025</v>
      </c>
      <c r="F148" s="48">
        <v>104767.04153</v>
      </c>
      <c r="G148" s="159">
        <v>128980.7</v>
      </c>
    </row>
    <row r="149" spans="1:7" s="174" customFormat="1" ht="15.75" x14ac:dyDescent="0.25">
      <c r="B149" s="169" t="s">
        <v>7</v>
      </c>
      <c r="C149" s="170" t="s">
        <v>207</v>
      </c>
      <c r="D149" s="171" t="s">
        <v>67</v>
      </c>
      <c r="E149" s="26">
        <v>2025</v>
      </c>
      <c r="F149" s="187"/>
      <c r="G149" s="173">
        <f>G118+G135+G142-G143</f>
        <v>0</v>
      </c>
    </row>
    <row r="150" spans="1:7" s="174" customFormat="1" ht="15.75" x14ac:dyDescent="0.25">
      <c r="B150" s="169" t="s">
        <v>7</v>
      </c>
      <c r="C150" s="170" t="s">
        <v>210</v>
      </c>
      <c r="D150" s="171" t="s">
        <v>67</v>
      </c>
      <c r="E150" s="26">
        <v>2025</v>
      </c>
      <c r="F150" s="187"/>
      <c r="G150" s="192">
        <v>2025</v>
      </c>
    </row>
    <row r="151" spans="1:7" ht="15.75" x14ac:dyDescent="0.25">
      <c r="A151" s="49"/>
      <c r="B151" s="58" t="s">
        <v>7</v>
      </c>
      <c r="C151" s="42" t="s">
        <v>44</v>
      </c>
      <c r="D151" s="39" t="s">
        <v>67</v>
      </c>
      <c r="E151" s="26">
        <v>2025</v>
      </c>
      <c r="F151" s="48">
        <v>88353.384659999996</v>
      </c>
      <c r="G151" s="159">
        <v>13112.2</v>
      </c>
    </row>
    <row r="152" spans="1:7" ht="15.75" x14ac:dyDescent="0.25">
      <c r="A152" s="49"/>
      <c r="B152" s="58" t="s">
        <v>7</v>
      </c>
      <c r="C152" s="42" t="s">
        <v>43</v>
      </c>
      <c r="D152" s="39" t="s">
        <v>67</v>
      </c>
      <c r="E152" s="26">
        <v>2025</v>
      </c>
      <c r="F152" s="48">
        <v>67704.40529000001</v>
      </c>
      <c r="G152" s="159">
        <v>87945.2</v>
      </c>
    </row>
    <row r="153" spans="1:7" ht="15.75" x14ac:dyDescent="0.25">
      <c r="A153" s="49"/>
      <c r="B153" s="58" t="s">
        <v>7</v>
      </c>
      <c r="C153" s="42" t="s">
        <v>45</v>
      </c>
      <c r="D153" s="39" t="s">
        <v>67</v>
      </c>
      <c r="E153" s="26">
        <v>2025</v>
      </c>
      <c r="F153" s="48">
        <v>55466.33</v>
      </c>
      <c r="G153" s="159">
        <v>3532.3</v>
      </c>
    </row>
    <row r="154" spans="1:7" ht="15.75" x14ac:dyDescent="0.25">
      <c r="A154" s="49"/>
      <c r="B154" s="58" t="s">
        <v>7</v>
      </c>
      <c r="C154" s="42" t="s">
        <v>47</v>
      </c>
      <c r="D154" s="39" t="s">
        <v>67</v>
      </c>
      <c r="E154" s="26">
        <v>2025</v>
      </c>
      <c r="F154" s="48">
        <v>16021.49019</v>
      </c>
      <c r="G154" s="159">
        <v>34841.599999999999</v>
      </c>
    </row>
    <row r="155" spans="1:7" ht="15.75" x14ac:dyDescent="0.25">
      <c r="A155" s="49"/>
      <c r="B155" s="58" t="s">
        <v>75</v>
      </c>
      <c r="C155" s="42" t="s">
        <v>78</v>
      </c>
      <c r="D155" s="39" t="s">
        <v>67</v>
      </c>
      <c r="E155" s="26">
        <v>2025</v>
      </c>
      <c r="F155" s="48">
        <f>SUM(F156:F172)</f>
        <v>1866580.07858</v>
      </c>
      <c r="G155" s="186">
        <f>SUM(G156:G172)</f>
        <v>1191806.7999999998</v>
      </c>
    </row>
    <row r="156" spans="1:7" ht="22.5" x14ac:dyDescent="0.25">
      <c r="A156" s="49"/>
      <c r="B156" s="58" t="s">
        <v>48</v>
      </c>
      <c r="C156" s="34" t="s">
        <v>50</v>
      </c>
      <c r="D156" s="39" t="s">
        <v>67</v>
      </c>
      <c r="E156" s="26">
        <v>2025</v>
      </c>
      <c r="F156" s="33">
        <v>15051.24381</v>
      </c>
      <c r="G156" s="64">
        <v>0</v>
      </c>
    </row>
    <row r="157" spans="1:7" ht="22.5" x14ac:dyDescent="0.25">
      <c r="A157" s="49"/>
      <c r="B157" s="58" t="s">
        <v>48</v>
      </c>
      <c r="C157" s="34" t="s">
        <v>51</v>
      </c>
      <c r="D157" s="39" t="s">
        <v>67</v>
      </c>
      <c r="E157" s="26">
        <v>2025</v>
      </c>
      <c r="F157" s="33">
        <v>4221.1000000000004</v>
      </c>
      <c r="G157" s="158">
        <v>123128.2</v>
      </c>
    </row>
    <row r="158" spans="1:7" ht="33.75" x14ac:dyDescent="0.25">
      <c r="A158" s="49"/>
      <c r="B158" s="58" t="s">
        <v>48</v>
      </c>
      <c r="C158" s="34" t="s">
        <v>52</v>
      </c>
      <c r="D158" s="39" t="s">
        <v>67</v>
      </c>
      <c r="E158" s="26">
        <v>2025</v>
      </c>
      <c r="F158" s="33">
        <v>6650.9315800000004</v>
      </c>
      <c r="G158" s="158">
        <v>826.1</v>
      </c>
    </row>
    <row r="159" spans="1:7" ht="22.5" x14ac:dyDescent="0.25">
      <c r="A159" s="49"/>
      <c r="B159" s="58" t="s">
        <v>48</v>
      </c>
      <c r="C159" s="34" t="s">
        <v>53</v>
      </c>
      <c r="D159" s="39" t="s">
        <v>67</v>
      </c>
      <c r="E159" s="26">
        <v>2025</v>
      </c>
      <c r="F159" s="33">
        <v>135579.56622000001</v>
      </c>
      <c r="G159" s="158">
        <v>10</v>
      </c>
    </row>
    <row r="160" spans="1:7" ht="22.5" x14ac:dyDescent="0.25">
      <c r="A160" s="49"/>
      <c r="B160" s="58" t="s">
        <v>48</v>
      </c>
      <c r="C160" s="34" t="s">
        <v>54</v>
      </c>
      <c r="D160" s="39" t="s">
        <v>67</v>
      </c>
      <c r="E160" s="26">
        <v>2025</v>
      </c>
      <c r="F160" s="33">
        <v>2998</v>
      </c>
      <c r="G160" s="182">
        <v>8284.6</v>
      </c>
    </row>
    <row r="161" spans="1:7" ht="22.5" x14ac:dyDescent="0.25">
      <c r="A161" s="49"/>
      <c r="B161" s="58" t="s">
        <v>48</v>
      </c>
      <c r="C161" s="34" t="s">
        <v>55</v>
      </c>
      <c r="D161" s="39" t="s">
        <v>67</v>
      </c>
      <c r="E161" s="26">
        <v>2025</v>
      </c>
      <c r="F161" s="33">
        <v>85</v>
      </c>
      <c r="G161" s="158">
        <v>50</v>
      </c>
    </row>
    <row r="162" spans="1:7" ht="15.75" x14ac:dyDescent="0.25">
      <c r="A162" s="49"/>
      <c r="B162" s="58" t="s">
        <v>48</v>
      </c>
      <c r="C162" s="34" t="s">
        <v>56</v>
      </c>
      <c r="D162" s="39" t="s">
        <v>67</v>
      </c>
      <c r="E162" s="26">
        <v>2025</v>
      </c>
      <c r="F162" s="33">
        <v>932800.89150000003</v>
      </c>
      <c r="G162" s="158">
        <v>363</v>
      </c>
    </row>
    <row r="163" spans="1:7" ht="22.5" x14ac:dyDescent="0.25">
      <c r="A163" s="49"/>
      <c r="B163" s="58" t="s">
        <v>48</v>
      </c>
      <c r="C163" s="34" t="s">
        <v>57</v>
      </c>
      <c r="D163" s="39" t="s">
        <v>67</v>
      </c>
      <c r="E163" s="26">
        <v>2025</v>
      </c>
      <c r="F163" s="33">
        <v>22026.2</v>
      </c>
      <c r="G163" s="158">
        <v>145675.70000000001</v>
      </c>
    </row>
    <row r="164" spans="1:7" ht="22.5" x14ac:dyDescent="0.25">
      <c r="A164" s="49"/>
      <c r="B164" s="58" t="s">
        <v>48</v>
      </c>
      <c r="C164" s="34" t="s">
        <v>58</v>
      </c>
      <c r="D164" s="39" t="s">
        <v>67</v>
      </c>
      <c r="E164" s="26">
        <v>2025</v>
      </c>
      <c r="F164" s="33">
        <v>116395.11829000001</v>
      </c>
      <c r="G164" s="158">
        <v>125</v>
      </c>
    </row>
    <row r="165" spans="1:7" ht="22.5" x14ac:dyDescent="0.25">
      <c r="A165" s="49"/>
      <c r="B165" s="58" t="s">
        <v>48</v>
      </c>
      <c r="C165" s="34" t="s">
        <v>59</v>
      </c>
      <c r="D165" s="39" t="s">
        <v>67</v>
      </c>
      <c r="E165" s="26">
        <v>2025</v>
      </c>
      <c r="F165" s="33">
        <v>254006.70525999999</v>
      </c>
      <c r="G165" s="158">
        <v>0</v>
      </c>
    </row>
    <row r="166" spans="1:7" ht="22.5" x14ac:dyDescent="0.25">
      <c r="A166" s="49"/>
      <c r="B166" s="58" t="s">
        <v>48</v>
      </c>
      <c r="C166" s="34" t="s">
        <v>60</v>
      </c>
      <c r="D166" s="39" t="s">
        <v>67</v>
      </c>
      <c r="E166" s="26">
        <v>2025</v>
      </c>
      <c r="F166" s="33">
        <v>55466.33</v>
      </c>
      <c r="G166" s="158">
        <v>85</v>
      </c>
    </row>
    <row r="167" spans="1:7" ht="22.5" x14ac:dyDescent="0.25">
      <c r="A167" s="49"/>
      <c r="B167" s="58" t="s">
        <v>48</v>
      </c>
      <c r="C167" s="34" t="s">
        <v>49</v>
      </c>
      <c r="D167" s="39" t="s">
        <v>67</v>
      </c>
      <c r="E167" s="26">
        <v>2025</v>
      </c>
      <c r="F167" s="33">
        <v>5820.0683300000001</v>
      </c>
      <c r="G167" s="158">
        <v>3330</v>
      </c>
    </row>
    <row r="168" spans="1:7" ht="33.75" x14ac:dyDescent="0.25">
      <c r="A168" s="49"/>
      <c r="B168" s="58" t="s">
        <v>48</v>
      </c>
      <c r="C168" s="34" t="s">
        <v>61</v>
      </c>
      <c r="D168" s="39" t="s">
        <v>67</v>
      </c>
      <c r="E168" s="26">
        <v>2025</v>
      </c>
      <c r="F168" s="33">
        <v>95639.734660000002</v>
      </c>
      <c r="G168" s="158">
        <v>3532.3</v>
      </c>
    </row>
    <row r="169" spans="1:7" ht="33.75" x14ac:dyDescent="0.25">
      <c r="A169" s="49"/>
      <c r="B169" s="58" t="s">
        <v>48</v>
      </c>
      <c r="C169" s="34" t="s">
        <v>62</v>
      </c>
      <c r="D169" s="39" t="s">
        <v>67</v>
      </c>
      <c r="E169" s="26">
        <v>2025</v>
      </c>
      <c r="F169" s="33">
        <v>7398.2005999999992</v>
      </c>
      <c r="G169" s="158">
        <v>11761</v>
      </c>
    </row>
    <row r="170" spans="1:7" ht="56.25" x14ac:dyDescent="0.25">
      <c r="A170" s="49"/>
      <c r="B170" s="58" t="s">
        <v>48</v>
      </c>
      <c r="C170" s="34" t="s">
        <v>63</v>
      </c>
      <c r="D170" s="39" t="s">
        <v>67</v>
      </c>
      <c r="E170" s="26">
        <v>2025</v>
      </c>
      <c r="F170" s="33">
        <v>25104.401109999999</v>
      </c>
      <c r="G170" s="158">
        <v>87645.2</v>
      </c>
    </row>
    <row r="171" spans="1:7" ht="22.5" x14ac:dyDescent="0.25">
      <c r="A171" s="49"/>
      <c r="B171" s="58" t="s">
        <v>48</v>
      </c>
      <c r="C171" s="34" t="s">
        <v>64</v>
      </c>
      <c r="D171" s="39" t="s">
        <v>67</v>
      </c>
      <c r="E171" s="26">
        <v>2025</v>
      </c>
      <c r="F171" s="33">
        <v>76208.022849999994</v>
      </c>
      <c r="G171" s="158">
        <v>653</v>
      </c>
    </row>
    <row r="172" spans="1:7" ht="33.75" x14ac:dyDescent="0.25">
      <c r="A172" s="49"/>
      <c r="B172" s="58" t="s">
        <v>48</v>
      </c>
      <c r="C172" s="34" t="s">
        <v>65</v>
      </c>
      <c r="D172" s="39" t="s">
        <v>67</v>
      </c>
      <c r="E172" s="26">
        <v>2025</v>
      </c>
      <c r="F172" s="33">
        <v>111128.56437000001</v>
      </c>
      <c r="G172" s="158">
        <v>806337.7</v>
      </c>
    </row>
    <row r="173" spans="1:7" ht="33.75" x14ac:dyDescent="0.25">
      <c r="A173" s="49"/>
      <c r="B173" s="58" t="s">
        <v>48</v>
      </c>
      <c r="C173" s="54" t="s">
        <v>102</v>
      </c>
      <c r="D173" s="39" t="s">
        <v>67</v>
      </c>
      <c r="E173" s="26">
        <v>2025</v>
      </c>
      <c r="F173" s="33">
        <v>0</v>
      </c>
      <c r="G173" s="182">
        <v>0</v>
      </c>
    </row>
    <row r="174" spans="1:7" ht="15.75" x14ac:dyDescent="0.25">
      <c r="A174" s="49"/>
      <c r="B174" s="58" t="s">
        <v>76</v>
      </c>
      <c r="C174" s="42" t="s">
        <v>77</v>
      </c>
      <c r="D174" s="39" t="s">
        <v>67</v>
      </c>
      <c r="E174" s="26">
        <v>2025</v>
      </c>
      <c r="F174" s="33">
        <f>F175</f>
        <v>26607.338899999999</v>
      </c>
      <c r="G174" s="183">
        <f>G175</f>
        <v>8832.5</v>
      </c>
    </row>
    <row r="175" spans="1:7" s="15" customFormat="1" ht="15.75" x14ac:dyDescent="0.25">
      <c r="A175" s="50"/>
      <c r="B175" s="58" t="s">
        <v>48</v>
      </c>
      <c r="C175" s="34" t="s">
        <v>66</v>
      </c>
      <c r="D175" s="39" t="s">
        <v>67</v>
      </c>
      <c r="E175" s="26">
        <v>2025</v>
      </c>
      <c r="F175" s="33">
        <v>26607.338899999999</v>
      </c>
      <c r="G175" s="182">
        <v>8832.5</v>
      </c>
    </row>
    <row r="176" spans="1:7" ht="15.75" x14ac:dyDescent="0.25">
      <c r="A176" s="51"/>
      <c r="B176" s="55" t="s">
        <v>69</v>
      </c>
      <c r="C176" s="12" t="s">
        <v>37</v>
      </c>
      <c r="D176" s="12" t="s">
        <v>35</v>
      </c>
      <c r="E176" s="12">
        <v>2026</v>
      </c>
      <c r="F176" s="13">
        <v>460161.5</v>
      </c>
      <c r="G176" s="157">
        <v>340158.2</v>
      </c>
    </row>
    <row r="177" spans="1:7" ht="15.75" x14ac:dyDescent="0.25">
      <c r="A177" s="51"/>
      <c r="B177" s="60" t="s">
        <v>1</v>
      </c>
      <c r="C177" s="6" t="s">
        <v>2</v>
      </c>
      <c r="D177" s="6" t="s">
        <v>35</v>
      </c>
      <c r="E177" s="12">
        <v>2026</v>
      </c>
      <c r="F177" s="7">
        <v>319602.8</v>
      </c>
      <c r="G177" s="156">
        <v>256000</v>
      </c>
    </row>
    <row r="178" spans="1:7" ht="22.5" x14ac:dyDescent="0.25">
      <c r="A178" s="51"/>
      <c r="B178" s="60" t="s">
        <v>1</v>
      </c>
      <c r="C178" s="6" t="s">
        <v>13</v>
      </c>
      <c r="D178" s="6" t="s">
        <v>35</v>
      </c>
      <c r="E178" s="12">
        <v>2026</v>
      </c>
      <c r="F178" s="7">
        <v>8738.7000000000007</v>
      </c>
      <c r="G178" s="156">
        <v>40337.199999999997</v>
      </c>
    </row>
    <row r="179" spans="1:7" ht="15.75" x14ac:dyDescent="0.25">
      <c r="A179" s="51"/>
      <c r="B179" s="60" t="s">
        <v>1</v>
      </c>
      <c r="C179" s="6" t="s">
        <v>14</v>
      </c>
      <c r="D179" s="6" t="s">
        <v>35</v>
      </c>
      <c r="E179" s="12">
        <v>2026</v>
      </c>
      <c r="F179" s="7">
        <v>69100</v>
      </c>
      <c r="G179" s="156">
        <v>11400</v>
      </c>
    </row>
    <row r="180" spans="1:7" ht="22.5" x14ac:dyDescent="0.25">
      <c r="A180" s="51"/>
      <c r="B180" s="61" t="s">
        <v>1</v>
      </c>
      <c r="C180" s="8" t="s">
        <v>15</v>
      </c>
      <c r="D180" s="8" t="s">
        <v>35</v>
      </c>
      <c r="E180" s="12">
        <v>2026</v>
      </c>
      <c r="F180" s="9">
        <v>60000</v>
      </c>
      <c r="G180" s="68"/>
    </row>
    <row r="181" spans="1:7" ht="22.5" x14ac:dyDescent="0.25">
      <c r="A181" s="51"/>
      <c r="B181" s="61" t="s">
        <v>1</v>
      </c>
      <c r="C181" s="8" t="s">
        <v>16</v>
      </c>
      <c r="D181" s="8" t="s">
        <v>35</v>
      </c>
      <c r="E181" s="12">
        <v>2026</v>
      </c>
      <c r="F181" s="9">
        <v>0</v>
      </c>
      <c r="G181" s="68"/>
    </row>
    <row r="182" spans="1:7" ht="15.75" x14ac:dyDescent="0.25">
      <c r="A182" s="51"/>
      <c r="B182" s="61" t="s">
        <v>1</v>
      </c>
      <c r="C182" s="8" t="s">
        <v>17</v>
      </c>
      <c r="D182" s="8" t="s">
        <v>35</v>
      </c>
      <c r="E182" s="12">
        <v>2026</v>
      </c>
      <c r="F182" s="9">
        <v>0</v>
      </c>
      <c r="G182" s="68"/>
    </row>
    <row r="183" spans="1:7" ht="22.5" x14ac:dyDescent="0.25">
      <c r="A183" s="51"/>
      <c r="B183" s="61" t="s">
        <v>1</v>
      </c>
      <c r="C183" s="8" t="s">
        <v>18</v>
      </c>
      <c r="D183" s="8" t="s">
        <v>35</v>
      </c>
      <c r="E183" s="12">
        <v>2026</v>
      </c>
      <c r="F183" s="9">
        <v>9100</v>
      </c>
      <c r="G183" s="68"/>
    </row>
    <row r="184" spans="1:7" ht="15.75" x14ac:dyDescent="0.25">
      <c r="A184" s="51"/>
      <c r="B184" s="60" t="s">
        <v>1</v>
      </c>
      <c r="C184" s="6" t="s">
        <v>19</v>
      </c>
      <c r="D184" s="6" t="s">
        <v>35</v>
      </c>
      <c r="E184" s="12">
        <v>2026</v>
      </c>
      <c r="F184" s="7">
        <v>53800</v>
      </c>
      <c r="G184" s="156">
        <v>29900</v>
      </c>
    </row>
    <row r="185" spans="1:7" ht="15.75" x14ac:dyDescent="0.25">
      <c r="A185" s="51"/>
      <c r="B185" s="62" t="s">
        <v>1</v>
      </c>
      <c r="C185" s="10" t="s">
        <v>20</v>
      </c>
      <c r="D185" s="10" t="s">
        <v>35</v>
      </c>
      <c r="E185" s="12">
        <v>2026</v>
      </c>
      <c r="F185" s="11">
        <v>22700</v>
      </c>
      <c r="G185" s="69"/>
    </row>
    <row r="186" spans="1:7" ht="15.75" x14ac:dyDescent="0.25">
      <c r="A186" s="51"/>
      <c r="B186" s="62" t="s">
        <v>1</v>
      </c>
      <c r="C186" s="10" t="s">
        <v>21</v>
      </c>
      <c r="D186" s="10" t="s">
        <v>35</v>
      </c>
      <c r="E186" s="12">
        <v>2026</v>
      </c>
      <c r="F186" s="11">
        <v>2300</v>
      </c>
      <c r="G186" s="69"/>
    </row>
    <row r="187" spans="1:7" ht="15.75" x14ac:dyDescent="0.25">
      <c r="A187" s="51"/>
      <c r="B187" s="62" t="s">
        <v>1</v>
      </c>
      <c r="C187" s="10" t="s">
        <v>22</v>
      </c>
      <c r="D187" s="10" t="s">
        <v>35</v>
      </c>
      <c r="E187" s="12">
        <v>2026</v>
      </c>
      <c r="F187" s="11">
        <v>28800</v>
      </c>
      <c r="G187" s="158"/>
    </row>
    <row r="188" spans="1:7" ht="15.75" x14ac:dyDescent="0.25">
      <c r="A188" s="51"/>
      <c r="B188" s="61" t="s">
        <v>1</v>
      </c>
      <c r="C188" s="8" t="s">
        <v>23</v>
      </c>
      <c r="D188" s="8" t="s">
        <v>35</v>
      </c>
      <c r="E188" s="12">
        <v>2026</v>
      </c>
      <c r="F188" s="9">
        <v>25000</v>
      </c>
      <c r="G188" s="182"/>
    </row>
    <row r="189" spans="1:7" ht="15.75" x14ac:dyDescent="0.25">
      <c r="A189" s="51"/>
      <c r="B189" s="61" t="s">
        <v>1</v>
      </c>
      <c r="C189" s="8" t="s">
        <v>24</v>
      </c>
      <c r="D189" s="8" t="s">
        <v>35</v>
      </c>
      <c r="E189" s="12">
        <v>2026</v>
      </c>
      <c r="F189" s="9">
        <v>3800</v>
      </c>
      <c r="G189" s="182"/>
    </row>
    <row r="190" spans="1:7" ht="15.75" x14ac:dyDescent="0.25">
      <c r="A190" s="51"/>
      <c r="B190" s="60" t="s">
        <v>1</v>
      </c>
      <c r="C190" s="6" t="s">
        <v>25</v>
      </c>
      <c r="D190" s="6" t="s">
        <v>35</v>
      </c>
      <c r="E190" s="12">
        <v>2026</v>
      </c>
      <c r="F190" s="7">
        <v>20</v>
      </c>
      <c r="G190" s="156">
        <v>1</v>
      </c>
    </row>
    <row r="191" spans="1:7" ht="15.75" x14ac:dyDescent="0.25">
      <c r="A191" s="51"/>
      <c r="B191" s="60" t="s">
        <v>1</v>
      </c>
      <c r="C191" s="6" t="s">
        <v>26</v>
      </c>
      <c r="D191" s="6" t="s">
        <v>35</v>
      </c>
      <c r="E191" s="12">
        <v>2026</v>
      </c>
      <c r="F191" s="7">
        <v>8900</v>
      </c>
      <c r="G191" s="156">
        <v>2520</v>
      </c>
    </row>
    <row r="192" spans="1:7" s="15" customFormat="1" ht="22.5" x14ac:dyDescent="0.25">
      <c r="A192" s="50"/>
      <c r="B192" s="60" t="s">
        <v>1</v>
      </c>
      <c r="C192" s="6" t="s">
        <v>36</v>
      </c>
      <c r="D192" s="6" t="s">
        <v>35</v>
      </c>
      <c r="E192" s="12">
        <v>2026</v>
      </c>
      <c r="F192" s="7">
        <v>0</v>
      </c>
      <c r="G192" s="156">
        <v>0</v>
      </c>
    </row>
    <row r="193" spans="1:7" ht="15.75" x14ac:dyDescent="0.25">
      <c r="A193" s="51"/>
      <c r="B193" s="55" t="s">
        <v>70</v>
      </c>
      <c r="C193" s="12" t="s">
        <v>38</v>
      </c>
      <c r="D193" s="12" t="s">
        <v>35</v>
      </c>
      <c r="E193" s="12">
        <v>2026</v>
      </c>
      <c r="F193" s="13">
        <v>68273.807449999993</v>
      </c>
      <c r="G193" s="157">
        <v>17049</v>
      </c>
    </row>
    <row r="194" spans="1:7" ht="22.5" x14ac:dyDescent="0.25">
      <c r="A194" s="51"/>
      <c r="B194" s="60" t="s">
        <v>3</v>
      </c>
      <c r="C194" s="6" t="s">
        <v>27</v>
      </c>
      <c r="D194" s="6" t="s">
        <v>35</v>
      </c>
      <c r="E194" s="12">
        <v>2026</v>
      </c>
      <c r="F194" s="7">
        <v>44000</v>
      </c>
      <c r="G194" s="156">
        <v>8056</v>
      </c>
    </row>
    <row r="195" spans="1:7" ht="15.75" x14ac:dyDescent="0.25">
      <c r="A195" s="51"/>
      <c r="B195" s="60" t="s">
        <v>3</v>
      </c>
      <c r="C195" s="6" t="s">
        <v>28</v>
      </c>
      <c r="D195" s="6" t="s">
        <v>35</v>
      </c>
      <c r="E195" s="12">
        <v>2026</v>
      </c>
      <c r="F195" s="7">
        <v>310</v>
      </c>
      <c r="G195" s="156">
        <v>279</v>
      </c>
    </row>
    <row r="196" spans="1:7" ht="22.5" x14ac:dyDescent="0.25">
      <c r="A196" s="51"/>
      <c r="B196" s="60" t="s">
        <v>3</v>
      </c>
      <c r="C196" s="6" t="s">
        <v>29</v>
      </c>
      <c r="D196" s="6" t="s">
        <v>35</v>
      </c>
      <c r="E196" s="12">
        <v>2026</v>
      </c>
      <c r="F196" s="7">
        <v>0</v>
      </c>
      <c r="G196" s="156">
        <v>114</v>
      </c>
    </row>
    <row r="197" spans="1:7" ht="22.5" x14ac:dyDescent="0.25">
      <c r="A197" s="51"/>
      <c r="B197" s="60" t="s">
        <v>3</v>
      </c>
      <c r="C197" s="6" t="s">
        <v>30</v>
      </c>
      <c r="D197" s="6" t="s">
        <v>35</v>
      </c>
      <c r="E197" s="12">
        <v>2026</v>
      </c>
      <c r="F197" s="7">
        <v>20000</v>
      </c>
      <c r="G197" s="156">
        <v>7000</v>
      </c>
    </row>
    <row r="198" spans="1:7" ht="15.75" x14ac:dyDescent="0.25">
      <c r="A198" s="51"/>
      <c r="B198" s="60" t="s">
        <v>3</v>
      </c>
      <c r="C198" s="6" t="s">
        <v>31</v>
      </c>
      <c r="D198" s="6" t="s">
        <v>35</v>
      </c>
      <c r="E198" s="12">
        <v>2026</v>
      </c>
      <c r="F198" s="7">
        <v>2700</v>
      </c>
      <c r="G198" s="156">
        <v>1600</v>
      </c>
    </row>
    <row r="199" spans="1:7" s="18" customFormat="1" ht="15.75" x14ac:dyDescent="0.25">
      <c r="A199" s="52"/>
      <c r="B199" s="60" t="s">
        <v>3</v>
      </c>
      <c r="C199" s="6" t="s">
        <v>32</v>
      </c>
      <c r="D199" s="6" t="s">
        <v>35</v>
      </c>
      <c r="E199" s="12">
        <v>2026</v>
      </c>
      <c r="F199" s="7">
        <v>1263.80745</v>
      </c>
      <c r="G199" s="156">
        <v>0</v>
      </c>
    </row>
    <row r="200" spans="1:7" s="19" customFormat="1" ht="15.75" x14ac:dyDescent="0.25">
      <c r="A200" s="53"/>
      <c r="B200" s="59" t="s">
        <v>72</v>
      </c>
      <c r="C200" s="14" t="s">
        <v>34</v>
      </c>
      <c r="D200" s="16" t="s">
        <v>35</v>
      </c>
      <c r="E200" s="12">
        <v>2026</v>
      </c>
      <c r="F200" s="17">
        <v>1437034.1500599999</v>
      </c>
      <c r="G200" s="157">
        <v>834433.5</v>
      </c>
    </row>
    <row r="201" spans="1:7" ht="15.75" x14ac:dyDescent="0.25">
      <c r="A201" s="51"/>
      <c r="B201" s="55" t="s">
        <v>71</v>
      </c>
      <c r="C201" s="21" t="s">
        <v>46</v>
      </c>
      <c r="D201" s="25" t="s">
        <v>67</v>
      </c>
      <c r="E201" s="12">
        <v>2026</v>
      </c>
      <c r="F201" s="22">
        <v>2068511.3965699996</v>
      </c>
      <c r="G201" s="160">
        <v>1191640.7</v>
      </c>
    </row>
    <row r="202" spans="1:7" ht="15.75" x14ac:dyDescent="0.25">
      <c r="A202" s="51"/>
      <c r="B202" s="62" t="s">
        <v>7</v>
      </c>
      <c r="C202" s="23" t="s">
        <v>42</v>
      </c>
      <c r="D202" s="25" t="s">
        <v>67</v>
      </c>
      <c r="E202" s="12">
        <v>2026</v>
      </c>
      <c r="F202" s="44">
        <v>994529.94790999999</v>
      </c>
      <c r="G202" s="159">
        <v>797977.7</v>
      </c>
    </row>
    <row r="203" spans="1:7" ht="15.75" x14ac:dyDescent="0.25">
      <c r="A203" s="51"/>
      <c r="B203" s="62" t="s">
        <v>7</v>
      </c>
      <c r="C203" s="23" t="s">
        <v>41</v>
      </c>
      <c r="D203" s="25" t="s">
        <v>67</v>
      </c>
      <c r="E203" s="12">
        <v>2026</v>
      </c>
      <c r="F203" s="44">
        <v>492095.33480000001</v>
      </c>
      <c r="G203" s="159">
        <v>17502.7</v>
      </c>
    </row>
    <row r="204" spans="1:7" ht="15.75" x14ac:dyDescent="0.25">
      <c r="A204" s="51"/>
      <c r="B204" s="62" t="s">
        <v>7</v>
      </c>
      <c r="C204" s="23" t="s">
        <v>40</v>
      </c>
      <c r="D204" s="25" t="s">
        <v>67</v>
      </c>
      <c r="E204" s="12">
        <v>2026</v>
      </c>
      <c r="F204" s="44">
        <v>244320.05033000003</v>
      </c>
      <c r="G204" s="159">
        <v>110435.4</v>
      </c>
    </row>
    <row r="205" spans="1:7" ht="15.75" x14ac:dyDescent="0.25">
      <c r="A205" s="51"/>
      <c r="B205" s="62" t="s">
        <v>7</v>
      </c>
      <c r="C205" s="24" t="s">
        <v>213</v>
      </c>
      <c r="D205" s="25" t="s">
        <v>67</v>
      </c>
      <c r="E205" s="12">
        <v>2026</v>
      </c>
      <c r="F205" s="44">
        <v>244320.05033000003</v>
      </c>
      <c r="G205" s="159">
        <v>114015</v>
      </c>
    </row>
    <row r="206" spans="1:7" ht="15.75" x14ac:dyDescent="0.25">
      <c r="A206" s="51"/>
      <c r="B206" s="62" t="s">
        <v>7</v>
      </c>
      <c r="C206" s="23" t="s">
        <v>39</v>
      </c>
      <c r="D206" s="25" t="s">
        <v>67</v>
      </c>
      <c r="E206" s="12">
        <v>2026</v>
      </c>
      <c r="F206" s="44">
        <v>109554.14984999999</v>
      </c>
      <c r="G206" s="159">
        <v>124668.1</v>
      </c>
    </row>
    <row r="207" spans="1:7" s="174" customFormat="1" ht="15.75" x14ac:dyDescent="0.25">
      <c r="B207" s="175" t="s">
        <v>7</v>
      </c>
      <c r="C207" s="176" t="s">
        <v>207</v>
      </c>
      <c r="D207" s="177" t="s">
        <v>67</v>
      </c>
      <c r="E207" s="190">
        <v>2026</v>
      </c>
      <c r="F207" s="191"/>
      <c r="G207" s="189">
        <f>G193+G200+G176-G201</f>
        <v>0</v>
      </c>
    </row>
    <row r="208" spans="1:7" s="174" customFormat="1" ht="15.75" x14ac:dyDescent="0.25">
      <c r="B208" s="175" t="s">
        <v>7</v>
      </c>
      <c r="C208" s="176" t="s">
        <v>210</v>
      </c>
      <c r="D208" s="177" t="s">
        <v>67</v>
      </c>
      <c r="E208" s="190">
        <v>2026</v>
      </c>
      <c r="F208" s="191"/>
      <c r="G208" s="192">
        <v>2026</v>
      </c>
    </row>
    <row r="209" spans="1:8" ht="15.75" x14ac:dyDescent="0.25">
      <c r="A209" s="51"/>
      <c r="B209" s="62" t="s">
        <v>7</v>
      </c>
      <c r="C209" s="23" t="s">
        <v>44</v>
      </c>
      <c r="D209" s="25" t="s">
        <v>67</v>
      </c>
      <c r="E209" s="12">
        <v>2026</v>
      </c>
      <c r="F209" s="44">
        <v>90762.398610000004</v>
      </c>
      <c r="G209" s="159">
        <v>6976</v>
      </c>
    </row>
    <row r="210" spans="1:8" ht="15.75" x14ac:dyDescent="0.25">
      <c r="A210" s="51"/>
      <c r="B210" s="62" t="s">
        <v>7</v>
      </c>
      <c r="C210" s="23" t="s">
        <v>43</v>
      </c>
      <c r="D210" s="25" t="s">
        <v>67</v>
      </c>
      <c r="E210" s="12">
        <v>2026</v>
      </c>
      <c r="F210" s="44">
        <v>77186.019650000002</v>
      </c>
      <c r="G210" s="159">
        <v>82008.899999999994</v>
      </c>
    </row>
    <row r="211" spans="1:8" ht="15.75" x14ac:dyDescent="0.25">
      <c r="A211" s="51"/>
      <c r="B211" s="62" t="s">
        <v>7</v>
      </c>
      <c r="C211" s="23" t="s">
        <v>45</v>
      </c>
      <c r="D211" s="25" t="s">
        <v>67</v>
      </c>
      <c r="E211" s="12">
        <v>2026</v>
      </c>
      <c r="F211" s="44">
        <v>44719.9</v>
      </c>
      <c r="G211" s="159">
        <v>3532.3</v>
      </c>
    </row>
    <row r="212" spans="1:8" ht="15.75" x14ac:dyDescent="0.25">
      <c r="A212" s="51"/>
      <c r="B212" s="62" t="s">
        <v>7</v>
      </c>
      <c r="C212" s="24" t="s">
        <v>47</v>
      </c>
      <c r="D212" s="25" t="s">
        <v>67</v>
      </c>
      <c r="E212" s="12">
        <v>2026</v>
      </c>
      <c r="F212" s="44">
        <v>15343.59542</v>
      </c>
      <c r="G212" s="159">
        <v>48539.6</v>
      </c>
    </row>
    <row r="213" spans="1:8" ht="15.75" x14ac:dyDescent="0.25">
      <c r="A213" s="51"/>
      <c r="B213" s="58" t="s">
        <v>75</v>
      </c>
      <c r="C213" s="42" t="s">
        <v>78</v>
      </c>
      <c r="D213" s="39" t="s">
        <v>67</v>
      </c>
      <c r="E213" s="12">
        <v>2026</v>
      </c>
      <c r="F213" s="44">
        <f>SUM(F214:F230)</f>
        <v>1759419.2634499997</v>
      </c>
      <c r="G213" s="44">
        <f>SUM(G214:G230)</f>
        <v>1182508.8999999999</v>
      </c>
      <c r="H213" s="20"/>
    </row>
    <row r="214" spans="1:8" ht="22.5" x14ac:dyDescent="0.25">
      <c r="A214" s="51"/>
      <c r="B214" s="62" t="s">
        <v>48</v>
      </c>
      <c r="C214" s="10" t="s">
        <v>50</v>
      </c>
      <c r="D214" s="25" t="s">
        <v>67</v>
      </c>
      <c r="E214" s="12">
        <v>2026</v>
      </c>
      <c r="F214" s="9">
        <v>18491.323120000001</v>
      </c>
      <c r="G214" s="68">
        <v>0</v>
      </c>
    </row>
    <row r="215" spans="1:8" ht="22.5" x14ac:dyDescent="0.25">
      <c r="A215" s="51"/>
      <c r="B215" s="62" t="s">
        <v>48</v>
      </c>
      <c r="C215" s="10" t="s">
        <v>51</v>
      </c>
      <c r="D215" s="25" t="s">
        <v>67</v>
      </c>
      <c r="E215" s="12">
        <v>2026</v>
      </c>
      <c r="F215" s="9">
        <v>4079</v>
      </c>
      <c r="G215" s="182">
        <v>122273.1</v>
      </c>
    </row>
    <row r="216" spans="1:8" ht="33.75" x14ac:dyDescent="0.25">
      <c r="A216" s="51"/>
      <c r="B216" s="62" t="s">
        <v>48</v>
      </c>
      <c r="C216" s="10" t="s">
        <v>52</v>
      </c>
      <c r="D216" s="25" t="s">
        <v>67</v>
      </c>
      <c r="E216" s="12">
        <v>2026</v>
      </c>
      <c r="F216" s="9">
        <v>5663</v>
      </c>
      <c r="G216" s="158">
        <v>0</v>
      </c>
    </row>
    <row r="217" spans="1:8" ht="22.5" x14ac:dyDescent="0.25">
      <c r="A217" s="51"/>
      <c r="B217" s="62" t="s">
        <v>48</v>
      </c>
      <c r="C217" s="10" t="s">
        <v>53</v>
      </c>
      <c r="D217" s="25" t="s">
        <v>67</v>
      </c>
      <c r="E217" s="12">
        <v>2026</v>
      </c>
      <c r="F217" s="9">
        <v>89.660610000000005</v>
      </c>
      <c r="G217" s="158">
        <v>10</v>
      </c>
    </row>
    <row r="218" spans="1:8" ht="22.5" x14ac:dyDescent="0.25">
      <c r="A218" s="51"/>
      <c r="B218" s="62" t="s">
        <v>48</v>
      </c>
      <c r="C218" s="10" t="s">
        <v>54</v>
      </c>
      <c r="D218" s="25" t="s">
        <v>67</v>
      </c>
      <c r="E218" s="12">
        <v>2026</v>
      </c>
      <c r="F218" s="9">
        <v>2587.5</v>
      </c>
      <c r="G218" s="158">
        <v>4003.7</v>
      </c>
    </row>
    <row r="219" spans="1:8" ht="22.5" x14ac:dyDescent="0.25">
      <c r="A219" s="51"/>
      <c r="B219" s="62" t="s">
        <v>48</v>
      </c>
      <c r="C219" s="10" t="s">
        <v>55</v>
      </c>
      <c r="D219" s="25" t="s">
        <v>67</v>
      </c>
      <c r="E219" s="12">
        <v>2026</v>
      </c>
      <c r="F219" s="9">
        <v>85</v>
      </c>
      <c r="G219" s="158">
        <v>50</v>
      </c>
    </row>
    <row r="220" spans="1:8" ht="15.75" x14ac:dyDescent="0.25">
      <c r="A220" s="51"/>
      <c r="B220" s="62" t="s">
        <v>48</v>
      </c>
      <c r="C220" s="10" t="s">
        <v>56</v>
      </c>
      <c r="D220" s="25" t="s">
        <v>67</v>
      </c>
      <c r="E220" s="12">
        <v>2026</v>
      </c>
      <c r="F220" s="9">
        <v>984780.28052000003</v>
      </c>
      <c r="G220" s="158">
        <v>363</v>
      </c>
    </row>
    <row r="221" spans="1:8" ht="22.5" x14ac:dyDescent="0.25">
      <c r="A221" s="51"/>
      <c r="B221" s="62" t="s">
        <v>48</v>
      </c>
      <c r="C221" s="10" t="s">
        <v>57</v>
      </c>
      <c r="D221" s="25" t="s">
        <v>67</v>
      </c>
      <c r="E221" s="12">
        <v>2026</v>
      </c>
      <c r="F221" s="9">
        <v>21882</v>
      </c>
      <c r="G221" s="158">
        <v>154975.5</v>
      </c>
    </row>
    <row r="222" spans="1:8" ht="22.5" x14ac:dyDescent="0.25">
      <c r="A222" s="51"/>
      <c r="B222" s="62" t="s">
        <v>48</v>
      </c>
      <c r="C222" s="10" t="s">
        <v>58</v>
      </c>
      <c r="D222" s="25" t="s">
        <v>67</v>
      </c>
      <c r="E222" s="12">
        <v>2026</v>
      </c>
      <c r="F222" s="9">
        <v>124388.81965</v>
      </c>
      <c r="G222" s="158">
        <v>125</v>
      </c>
    </row>
    <row r="223" spans="1:8" ht="22.5" x14ac:dyDescent="0.25">
      <c r="A223" s="51"/>
      <c r="B223" s="62" t="s">
        <v>48</v>
      </c>
      <c r="C223" s="10" t="s">
        <v>59</v>
      </c>
      <c r="D223" s="25" t="s">
        <v>67</v>
      </c>
      <c r="E223" s="12">
        <v>2026</v>
      </c>
      <c r="F223" s="9">
        <v>149006.54462999999</v>
      </c>
      <c r="G223" s="68">
        <v>0</v>
      </c>
    </row>
    <row r="224" spans="1:8" ht="22.5" x14ac:dyDescent="0.25">
      <c r="A224" s="51"/>
      <c r="B224" s="62" t="s">
        <v>48</v>
      </c>
      <c r="C224" s="10" t="s">
        <v>60</v>
      </c>
      <c r="D224" s="25" t="s">
        <v>67</v>
      </c>
      <c r="E224" s="12">
        <v>2026</v>
      </c>
      <c r="F224" s="9">
        <v>44719.9</v>
      </c>
      <c r="G224" s="158">
        <v>85</v>
      </c>
    </row>
    <row r="225" spans="1:8" ht="22.5" x14ac:dyDescent="0.25">
      <c r="A225" s="51"/>
      <c r="B225" s="62" t="s">
        <v>48</v>
      </c>
      <c r="C225" s="10" t="s">
        <v>49</v>
      </c>
      <c r="D225" s="25" t="s">
        <v>67</v>
      </c>
      <c r="E225" s="12">
        <v>2026</v>
      </c>
      <c r="F225" s="9">
        <v>2109.8000000000002</v>
      </c>
      <c r="G225" s="182">
        <v>3330</v>
      </c>
    </row>
    <row r="226" spans="1:8" ht="33.75" x14ac:dyDescent="0.25">
      <c r="A226" s="51"/>
      <c r="B226" s="62" t="s">
        <v>48</v>
      </c>
      <c r="C226" s="10" t="s">
        <v>61</v>
      </c>
      <c r="D226" s="25" t="s">
        <v>67</v>
      </c>
      <c r="E226" s="12">
        <v>2026</v>
      </c>
      <c r="F226" s="9">
        <v>257054.19216000001</v>
      </c>
      <c r="G226" s="158">
        <v>3532.3</v>
      </c>
    </row>
    <row r="227" spans="1:8" ht="33.75" x14ac:dyDescent="0.25">
      <c r="A227" s="51"/>
      <c r="B227" s="62" t="s">
        <v>48</v>
      </c>
      <c r="C227" s="10" t="s">
        <v>62</v>
      </c>
      <c r="D227" s="25" t="s">
        <v>67</v>
      </c>
      <c r="E227" s="12">
        <v>2026</v>
      </c>
      <c r="F227" s="9">
        <v>7297.98</v>
      </c>
      <c r="G227" s="158">
        <v>11550.9</v>
      </c>
      <c r="H227" s="4" t="s">
        <v>209</v>
      </c>
    </row>
    <row r="228" spans="1:8" ht="56.25" x14ac:dyDescent="0.25">
      <c r="A228" s="51"/>
      <c r="B228" s="62" t="s">
        <v>48</v>
      </c>
      <c r="C228" s="10" t="s">
        <v>63</v>
      </c>
      <c r="D228" s="25" t="s">
        <v>67</v>
      </c>
      <c r="E228" s="12">
        <v>2026</v>
      </c>
      <c r="F228" s="9">
        <v>22225.038</v>
      </c>
      <c r="G228" s="158">
        <v>81708.899999999994</v>
      </c>
    </row>
    <row r="229" spans="1:8" ht="22.5" x14ac:dyDescent="0.25">
      <c r="A229" s="51"/>
      <c r="B229" s="62" t="s">
        <v>48</v>
      </c>
      <c r="C229" s="10" t="s">
        <v>64</v>
      </c>
      <c r="D229" s="25" t="s">
        <v>67</v>
      </c>
      <c r="E229" s="12">
        <v>2026</v>
      </c>
      <c r="F229" s="9">
        <v>82594.054640000002</v>
      </c>
      <c r="G229" s="158">
        <v>653</v>
      </c>
    </row>
    <row r="230" spans="1:8" ht="33.75" x14ac:dyDescent="0.25">
      <c r="A230" s="51"/>
      <c r="B230" s="62" t="s">
        <v>48</v>
      </c>
      <c r="C230" s="10" t="s">
        <v>65</v>
      </c>
      <c r="D230" s="25" t="s">
        <v>67</v>
      </c>
      <c r="E230" s="12">
        <v>2026</v>
      </c>
      <c r="F230" s="9">
        <v>32365.170120000002</v>
      </c>
      <c r="G230" s="158">
        <v>799848.5</v>
      </c>
    </row>
    <row r="231" spans="1:8" ht="33.75" x14ac:dyDescent="0.25">
      <c r="A231" s="51"/>
      <c r="B231" s="62" t="s">
        <v>48</v>
      </c>
      <c r="C231" s="54" t="s">
        <v>102</v>
      </c>
      <c r="D231" s="25" t="s">
        <v>67</v>
      </c>
      <c r="E231" s="12">
        <v>2026</v>
      </c>
      <c r="F231" s="76">
        <v>0</v>
      </c>
      <c r="G231" s="188">
        <v>0</v>
      </c>
    </row>
    <row r="232" spans="1:8" ht="15.75" x14ac:dyDescent="0.25">
      <c r="A232" s="51"/>
      <c r="B232" s="58" t="s">
        <v>76</v>
      </c>
      <c r="C232" s="42" t="s">
        <v>77</v>
      </c>
      <c r="D232" s="39" t="s">
        <v>67</v>
      </c>
      <c r="E232" s="12">
        <v>2026</v>
      </c>
      <c r="F232" s="76">
        <f>F233</f>
        <v>309092.13312000001</v>
      </c>
      <c r="G232" s="180">
        <f>G233</f>
        <v>9131.7999999999993</v>
      </c>
    </row>
    <row r="233" spans="1:8" ht="15.75" x14ac:dyDescent="0.25">
      <c r="A233" s="51"/>
      <c r="B233" s="73" t="s">
        <v>48</v>
      </c>
      <c r="C233" s="74" t="s">
        <v>66</v>
      </c>
      <c r="D233" s="75" t="s">
        <v>67</v>
      </c>
      <c r="E233" s="12">
        <v>2026</v>
      </c>
      <c r="F233" s="76">
        <v>309092.13312000001</v>
      </c>
      <c r="G233" s="188">
        <v>9131.7999999999993</v>
      </c>
    </row>
    <row r="234" spans="1:8" ht="15.75" x14ac:dyDescent="0.25">
      <c r="B234" s="73" t="s">
        <v>83</v>
      </c>
      <c r="C234" s="74" t="s">
        <v>81</v>
      </c>
      <c r="D234" s="80" t="s">
        <v>82</v>
      </c>
      <c r="E234" s="81">
        <v>2023</v>
      </c>
      <c r="F234" s="180">
        <v>32840</v>
      </c>
      <c r="G234" s="77"/>
    </row>
    <row r="235" spans="1:8" ht="15.75" x14ac:dyDescent="0.25">
      <c r="B235" s="73" t="s">
        <v>83</v>
      </c>
      <c r="C235" s="74" t="s">
        <v>81</v>
      </c>
      <c r="D235" s="80" t="s">
        <v>82</v>
      </c>
      <c r="E235" s="81">
        <v>2024</v>
      </c>
      <c r="F235" s="180">
        <v>31253</v>
      </c>
      <c r="G235" s="77"/>
    </row>
    <row r="236" spans="1:8" ht="15.75" x14ac:dyDescent="0.25">
      <c r="B236" s="73" t="s">
        <v>83</v>
      </c>
      <c r="C236" s="74" t="s">
        <v>81</v>
      </c>
      <c r="D236" s="80" t="s">
        <v>82</v>
      </c>
      <c r="E236" s="81">
        <v>2025</v>
      </c>
      <c r="F236" s="180">
        <v>31253</v>
      </c>
      <c r="G236" s="77"/>
    </row>
    <row r="237" spans="1:8" ht="15.75" x14ac:dyDescent="0.25">
      <c r="B237" s="73" t="s">
        <v>83</v>
      </c>
      <c r="C237" s="74" t="s">
        <v>81</v>
      </c>
      <c r="D237" s="80" t="s">
        <v>82</v>
      </c>
      <c r="E237" s="81">
        <v>2026</v>
      </c>
      <c r="F237" s="180">
        <v>31253</v>
      </c>
      <c r="G237" s="77"/>
    </row>
  </sheetData>
  <sortState ref="B86:J93">
    <sortCondition descending="1" ref="H86:H93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6"/>
  <sheetViews>
    <sheetView showGridLines="0" tabSelected="1" zoomScale="40" zoomScaleNormal="40" workbookViewId="0">
      <selection activeCell="AP32" sqref="AP32"/>
    </sheetView>
  </sheetViews>
  <sheetFormatPr defaultColWidth="0" defaultRowHeight="15" zeroHeight="1" x14ac:dyDescent="0.25"/>
  <cols>
    <col min="1" max="1" width="13" style="98" customWidth="1"/>
    <col min="2" max="2" width="3.42578125" style="98" customWidth="1"/>
    <col min="3" max="19" width="9.140625" style="98" customWidth="1"/>
    <col min="20" max="20" width="7.7109375" style="98" customWidth="1"/>
    <col min="21" max="21" width="13.140625" style="98" customWidth="1"/>
    <col min="22" max="22" width="12" style="98" customWidth="1"/>
    <col min="23" max="23" width="23.28515625" style="98" customWidth="1"/>
    <col min="24" max="35" width="9.140625" style="98" customWidth="1"/>
    <col min="36" max="36" width="11.7109375" style="98" customWidth="1"/>
    <col min="37" max="37" width="19.28515625" style="98" customWidth="1"/>
    <col min="38" max="40" width="9.140625" style="98" customWidth="1"/>
    <col min="41" max="41" width="12.85546875" style="98" customWidth="1"/>
    <col min="42" max="42" width="6.85546875" style="98" customWidth="1"/>
    <col min="43" max="43" width="9.140625" style="98" hidden="1" customWidth="1"/>
    <col min="44" max="16384" width="9.140625" style="98" hidden="1"/>
  </cols>
  <sheetData>
    <row r="1" spans="1:43" ht="361.5" customHeight="1" x14ac:dyDescent="0.25">
      <c r="A1" s="199"/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</row>
    <row r="2" spans="1:43" s="161" customFormat="1" ht="61.5" customHeight="1" x14ac:dyDescent="0.2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</row>
    <row r="3" spans="1:43" x14ac:dyDescent="0.2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</row>
    <row r="4" spans="1:43" x14ac:dyDescent="0.25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</row>
    <row r="5" spans="1:43" x14ac:dyDescent="0.25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</row>
    <row r="6" spans="1:43" ht="69.75" customHeight="1" x14ac:dyDescent="0.25">
      <c r="A6" s="199"/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</row>
    <row r="7" spans="1:43" ht="63.75" customHeight="1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</row>
    <row r="8" spans="1:43" x14ac:dyDescent="0.25">
      <c r="A8" s="199"/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</row>
    <row r="9" spans="1:43" x14ac:dyDescent="0.25">
      <c r="A9" s="19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</row>
    <row r="10" spans="1:43" ht="62.25" customHeight="1" x14ac:dyDescent="0.25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</row>
    <row r="11" spans="1:43" ht="39" customHeight="1" x14ac:dyDescent="0.25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</row>
    <row r="12" spans="1:43" x14ac:dyDescent="0.25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</row>
    <row r="13" spans="1:43" x14ac:dyDescent="0.25">
      <c r="A13" s="199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</row>
    <row r="14" spans="1:43" x14ac:dyDescent="0.25">
      <c r="A14" s="199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</row>
    <row r="15" spans="1:43" x14ac:dyDescent="0.25">
      <c r="A15" s="199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</row>
    <row r="16" spans="1:43" x14ac:dyDescent="0.25">
      <c r="A16" s="199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</row>
    <row r="17" spans="1:43" x14ac:dyDescent="0.25">
      <c r="A17" s="199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</row>
    <row r="18" spans="1:43" x14ac:dyDescent="0.25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</row>
    <row r="19" spans="1:43" x14ac:dyDescent="0.25">
      <c r="A19" s="199"/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</row>
    <row r="20" spans="1:43" x14ac:dyDescent="0.25">
      <c r="A20" s="199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</row>
    <row r="21" spans="1:43" x14ac:dyDescent="0.25">
      <c r="A21" s="199"/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</row>
    <row r="22" spans="1:43" x14ac:dyDescent="0.25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</row>
    <row r="23" spans="1:43" x14ac:dyDescent="0.25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</row>
    <row r="24" spans="1:43" x14ac:dyDescent="0.25">
      <c r="A24" s="199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</row>
    <row r="25" spans="1:43" x14ac:dyDescent="0.25">
      <c r="A25" s="199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9"/>
    </row>
    <row r="26" spans="1:43" x14ac:dyDescent="0.2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</row>
    <row r="27" spans="1:43" x14ac:dyDescent="0.25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</row>
    <row r="28" spans="1:43" x14ac:dyDescent="0.25">
      <c r="A28" s="162"/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</row>
    <row r="29" spans="1:43" x14ac:dyDescent="0.25">
      <c r="A29" s="162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</row>
    <row r="30" spans="1:43" ht="3.75" customHeight="1" x14ac:dyDescent="0.25"/>
    <row r="31" spans="1:43" s="163" customFormat="1" ht="48" customHeight="1" x14ac:dyDescent="0.4">
      <c r="W31" s="195" t="s">
        <v>120</v>
      </c>
      <c r="X31" s="200" t="s">
        <v>119</v>
      </c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1"/>
    </row>
    <row r="32" spans="1:43" s="163" customFormat="1" ht="30" customHeight="1" x14ac:dyDescent="0.4">
      <c r="U32" s="164"/>
      <c r="W32" s="196">
        <f>МП!B28</f>
        <v>799.84849999999994</v>
      </c>
      <c r="X32" s="202" t="s">
        <v>192</v>
      </c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3"/>
    </row>
    <row r="33" spans="21:41" s="163" customFormat="1" ht="30" customHeight="1" x14ac:dyDescent="0.4">
      <c r="U33" s="165"/>
      <c r="W33" s="196">
        <f>МП!B29</f>
        <v>3.5323000000000002</v>
      </c>
      <c r="X33" s="202" t="s">
        <v>193</v>
      </c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3"/>
    </row>
    <row r="34" spans="21:41" s="163" customFormat="1" ht="30" customHeight="1" x14ac:dyDescent="0.4">
      <c r="U34" s="165"/>
      <c r="W34" s="196">
        <f>МП!B30</f>
        <v>81.7089</v>
      </c>
      <c r="X34" s="202" t="s">
        <v>106</v>
      </c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3"/>
    </row>
    <row r="35" spans="21:41" s="163" customFormat="1" ht="30" customHeight="1" x14ac:dyDescent="0.4">
      <c r="U35" s="165"/>
      <c r="W35" s="196">
        <f>МП!B31</f>
        <v>4.0037000000000003</v>
      </c>
      <c r="X35" s="202" t="s">
        <v>194</v>
      </c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3"/>
    </row>
    <row r="36" spans="21:41" s="163" customFormat="1" ht="30" customHeight="1" x14ac:dyDescent="0.4">
      <c r="U36" s="165"/>
      <c r="W36" s="196">
        <f>МП!B32</f>
        <v>3.33</v>
      </c>
      <c r="X36" s="202" t="s">
        <v>195</v>
      </c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3"/>
    </row>
    <row r="37" spans="21:41" s="163" customFormat="1" ht="30" customHeight="1" x14ac:dyDescent="0.4">
      <c r="U37" s="165"/>
      <c r="W37" s="196">
        <f>МП!B33</f>
        <v>11.5509</v>
      </c>
      <c r="X37" s="202" t="s">
        <v>196</v>
      </c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3"/>
    </row>
    <row r="38" spans="21:41" s="163" customFormat="1" ht="30" customHeight="1" x14ac:dyDescent="0.4">
      <c r="U38" s="165"/>
      <c r="W38" s="196">
        <f>МП!B34</f>
        <v>122.2731</v>
      </c>
      <c r="X38" s="202" t="s">
        <v>197</v>
      </c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3"/>
    </row>
    <row r="39" spans="21:41" s="163" customFormat="1" ht="30" customHeight="1" x14ac:dyDescent="0.4">
      <c r="U39" s="165"/>
      <c r="W39" s="196">
        <f>МП!B35</f>
        <v>0.125</v>
      </c>
      <c r="X39" s="202" t="s">
        <v>198</v>
      </c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3"/>
    </row>
    <row r="40" spans="21:41" s="163" customFormat="1" ht="30" customHeight="1" x14ac:dyDescent="0.4">
      <c r="U40" s="165"/>
      <c r="W40" s="196">
        <f>МП!B36</f>
        <v>154.97550000000001</v>
      </c>
      <c r="X40" s="202" t="s">
        <v>199</v>
      </c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3"/>
    </row>
    <row r="41" spans="21:41" s="163" customFormat="1" ht="30" customHeight="1" x14ac:dyDescent="0.4">
      <c r="U41" s="166"/>
      <c r="W41" s="196">
        <f>МП!B37</f>
        <v>0.65300000000000002</v>
      </c>
      <c r="X41" s="202" t="s">
        <v>201</v>
      </c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3"/>
    </row>
    <row r="42" spans="21:41" s="163" customFormat="1" ht="30" customHeight="1" x14ac:dyDescent="0.4">
      <c r="U42" s="165"/>
      <c r="W42" s="196">
        <f>МП!B38</f>
        <v>0.36299999999999999</v>
      </c>
      <c r="X42" s="202" t="s">
        <v>202</v>
      </c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3"/>
    </row>
    <row r="43" spans="21:41" s="163" customFormat="1" ht="30" customHeight="1" x14ac:dyDescent="0.4">
      <c r="U43" s="165"/>
      <c r="W43" s="196">
        <f>МП!B39</f>
        <v>0.01</v>
      </c>
      <c r="X43" s="202" t="s">
        <v>203</v>
      </c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2"/>
      <c r="AL43" s="202"/>
      <c r="AM43" s="202"/>
      <c r="AN43" s="202"/>
      <c r="AO43" s="203"/>
    </row>
    <row r="44" spans="21:41" s="163" customFormat="1" ht="69.75" customHeight="1" x14ac:dyDescent="0.4">
      <c r="U44" s="167"/>
      <c r="W44" s="196">
        <f>МП!B40</f>
        <v>8.5000000000000006E-2</v>
      </c>
      <c r="X44" s="202" t="s">
        <v>204</v>
      </c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3"/>
    </row>
    <row r="45" spans="21:41" s="163" customFormat="1" ht="30" customHeight="1" x14ac:dyDescent="0.4">
      <c r="U45" s="168"/>
      <c r="W45" s="196">
        <f>МП!B41</f>
        <v>0.05</v>
      </c>
      <c r="X45" s="202" t="s">
        <v>205</v>
      </c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3"/>
    </row>
    <row r="46" spans="21:41" s="163" customFormat="1" ht="58.5" customHeight="1" x14ac:dyDescent="0.4">
      <c r="U46" s="4"/>
      <c r="W46" s="197">
        <f>МП!B42</f>
        <v>0</v>
      </c>
      <c r="X46" s="204" t="s">
        <v>206</v>
      </c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5"/>
    </row>
    <row r="47" spans="21:41" s="4" customFormat="1" x14ac:dyDescent="0.25"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</row>
    <row r="48" spans="21:4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</sheetData>
  <sheetProtection sort="0" autoFilter="0" pivotTables="0"/>
  <mergeCells count="17">
    <mergeCell ref="X40:AO40"/>
    <mergeCell ref="X41:AO41"/>
    <mergeCell ref="X44:AO44"/>
    <mergeCell ref="X45:AO45"/>
    <mergeCell ref="X46:AO46"/>
    <mergeCell ref="X42:AO42"/>
    <mergeCell ref="X43:AO43"/>
    <mergeCell ref="X35:AO35"/>
    <mergeCell ref="X36:AO36"/>
    <mergeCell ref="X37:AO37"/>
    <mergeCell ref="X38:AO38"/>
    <mergeCell ref="X39:AO39"/>
    <mergeCell ref="A1:AQ27"/>
    <mergeCell ref="X31:AO31"/>
    <mergeCell ref="X32:AO32"/>
    <mergeCell ref="X33:AO33"/>
    <mergeCell ref="X34:AO3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5" sqref="A5:A16"/>
    </sheetView>
  </sheetViews>
  <sheetFormatPr defaultRowHeight="15" x14ac:dyDescent="0.25"/>
  <cols>
    <col min="1" max="1" width="9.7109375" bestFit="1" customWidth="1"/>
    <col min="2" max="2" width="23.85546875" bestFit="1" customWidth="1"/>
    <col min="3" max="3" width="15.5703125" bestFit="1" customWidth="1"/>
    <col min="4" max="4" width="7" bestFit="1" customWidth="1"/>
    <col min="5" max="5" width="34.140625" bestFit="1" customWidth="1"/>
    <col min="6" max="6" width="28.42578125" bestFit="1" customWidth="1"/>
    <col min="7" max="7" width="12" bestFit="1" customWidth="1"/>
    <col min="8" max="8" width="21" bestFit="1" customWidth="1"/>
    <col min="9" max="9" width="21.7109375" bestFit="1" customWidth="1"/>
    <col min="10" max="10" width="24.5703125" bestFit="1" customWidth="1"/>
    <col min="11" max="11" width="23.5703125" bestFit="1" customWidth="1"/>
    <col min="12" max="12" width="22.85546875" bestFit="1" customWidth="1"/>
    <col min="13" max="13" width="24" bestFit="1" customWidth="1"/>
  </cols>
  <sheetData>
    <row r="1" spans="1:7" x14ac:dyDescent="0.25">
      <c r="A1" s="1" t="s">
        <v>0</v>
      </c>
      <c r="B1" s="2">
        <v>2020</v>
      </c>
    </row>
    <row r="3" spans="1:7" x14ac:dyDescent="0.25">
      <c r="B3" s="1" t="s">
        <v>6</v>
      </c>
    </row>
    <row r="4" spans="1:7" x14ac:dyDescent="0.25">
      <c r="A4" s="1" t="s">
        <v>153</v>
      </c>
      <c r="B4" t="s">
        <v>87</v>
      </c>
      <c r="C4" t="s">
        <v>146</v>
      </c>
      <c r="D4" t="s">
        <v>166</v>
      </c>
      <c r="E4" t="s">
        <v>167</v>
      </c>
      <c r="F4" t="s">
        <v>168</v>
      </c>
      <c r="G4" t="s">
        <v>5</v>
      </c>
    </row>
    <row r="5" spans="1:7" x14ac:dyDescent="0.25">
      <c r="A5" s="2" t="s">
        <v>154</v>
      </c>
      <c r="B5" s="95">
        <v>11.16787167</v>
      </c>
      <c r="C5" s="95">
        <v>41.447455600000012</v>
      </c>
      <c r="D5" s="95">
        <v>15.574180119999999</v>
      </c>
      <c r="E5" s="95">
        <v>6.9518741399999993</v>
      </c>
      <c r="F5" s="95">
        <v>6.3352310300000001</v>
      </c>
      <c r="G5" s="3">
        <v>81.476612560000007</v>
      </c>
    </row>
    <row r="6" spans="1:7" x14ac:dyDescent="0.25">
      <c r="A6" s="2" t="s">
        <v>155</v>
      </c>
      <c r="B6" s="95">
        <v>2.0534969900000002</v>
      </c>
      <c r="C6" s="95">
        <v>32.994732290000002</v>
      </c>
      <c r="D6" s="95">
        <v>23.611851970000007</v>
      </c>
      <c r="E6" s="95">
        <v>3.09971978</v>
      </c>
      <c r="F6" s="95">
        <v>2.4584155300000008</v>
      </c>
      <c r="G6" s="3">
        <v>64.218216560000002</v>
      </c>
    </row>
    <row r="7" spans="1:7" x14ac:dyDescent="0.25">
      <c r="A7" s="2" t="s">
        <v>156</v>
      </c>
      <c r="B7" s="95">
        <v>0.95854336999999923</v>
      </c>
      <c r="C7" s="95">
        <v>34.960667090000008</v>
      </c>
      <c r="D7" s="95">
        <v>22.329753659999998</v>
      </c>
      <c r="E7" s="95">
        <v>4.8620432199999994</v>
      </c>
      <c r="F7" s="95">
        <v>4.8404826799999991</v>
      </c>
      <c r="G7" s="3">
        <v>67.951490020000008</v>
      </c>
    </row>
    <row r="8" spans="1:7" x14ac:dyDescent="0.25">
      <c r="A8" s="2" t="s">
        <v>157</v>
      </c>
      <c r="B8" s="95">
        <v>8.7798824399999997</v>
      </c>
      <c r="C8" s="95">
        <v>39.741006019999986</v>
      </c>
      <c r="D8" s="95">
        <v>16.781248609999999</v>
      </c>
      <c r="E8" s="95">
        <v>5.857109920000001</v>
      </c>
      <c r="F8" s="95">
        <v>6.8587171400000004</v>
      </c>
      <c r="G8" s="3">
        <v>78.017964129999982</v>
      </c>
    </row>
    <row r="9" spans="1:7" x14ac:dyDescent="0.25">
      <c r="A9" s="2" t="s">
        <v>158</v>
      </c>
      <c r="B9" s="95">
        <v>1.2747381099999995</v>
      </c>
      <c r="C9" s="95">
        <v>22.098887930000018</v>
      </c>
      <c r="D9" s="95">
        <v>14.414470010000006</v>
      </c>
      <c r="E9" s="95">
        <v>2.4426504899999992</v>
      </c>
      <c r="F9" s="95">
        <v>2.7256592599999996</v>
      </c>
      <c r="G9" s="3">
        <v>42.95640580000002</v>
      </c>
    </row>
    <row r="10" spans="1:7" x14ac:dyDescent="0.25">
      <c r="A10" s="2" t="s">
        <v>159</v>
      </c>
      <c r="B10" s="95">
        <v>0.56785062000000108</v>
      </c>
      <c r="C10" s="95">
        <v>30.156218980000027</v>
      </c>
      <c r="D10" s="95">
        <v>21.852066519999997</v>
      </c>
      <c r="E10" s="95">
        <v>5.0801311900000004</v>
      </c>
      <c r="F10" s="95">
        <v>1.3452744000000005</v>
      </c>
      <c r="G10" s="3">
        <v>59.001541710000033</v>
      </c>
    </row>
    <row r="11" spans="1:7" x14ac:dyDescent="0.25">
      <c r="A11" s="2" t="s">
        <v>160</v>
      </c>
      <c r="B11" s="95">
        <v>9.5307730000000035</v>
      </c>
      <c r="C11" s="95">
        <v>47.905076190000003</v>
      </c>
      <c r="D11" s="95">
        <v>23.594129779999985</v>
      </c>
      <c r="E11" s="95">
        <v>6.8852260899999997</v>
      </c>
      <c r="F11" s="95">
        <v>6.0503745899999997</v>
      </c>
      <c r="G11" s="3">
        <v>93.965579649999995</v>
      </c>
    </row>
    <row r="12" spans="1:7" x14ac:dyDescent="0.25">
      <c r="A12" s="2" t="s">
        <v>161</v>
      </c>
      <c r="B12" s="95">
        <v>0.8943951999999955</v>
      </c>
      <c r="C12" s="95">
        <v>30.846285449999939</v>
      </c>
      <c r="D12" s="95">
        <v>22.206769770000012</v>
      </c>
      <c r="E12" s="95">
        <v>3.5750501699999981</v>
      </c>
      <c r="F12" s="95">
        <v>2.2742129800000002</v>
      </c>
      <c r="G12" s="3">
        <v>59.796713569999945</v>
      </c>
    </row>
    <row r="13" spans="1:7" x14ac:dyDescent="0.25">
      <c r="A13" s="2" t="s">
        <v>162</v>
      </c>
      <c r="B13" s="95">
        <v>1.1697265200000033</v>
      </c>
      <c r="C13" s="95">
        <v>34.354272919999971</v>
      </c>
      <c r="D13" s="95">
        <v>22.506284999999998</v>
      </c>
      <c r="E13" s="95">
        <v>5.6874049700000029</v>
      </c>
      <c r="F13" s="95">
        <v>3.0679467299999983</v>
      </c>
      <c r="G13" s="3">
        <v>66.78563613999998</v>
      </c>
    </row>
    <row r="14" spans="1:7" x14ac:dyDescent="0.25">
      <c r="A14" s="2" t="s">
        <v>163</v>
      </c>
      <c r="B14" s="95">
        <v>11.687548949999996</v>
      </c>
      <c r="C14" s="95">
        <v>54.290234550000065</v>
      </c>
      <c r="D14" s="95">
        <v>23.897058770000012</v>
      </c>
      <c r="E14" s="95">
        <v>8.8930719599999986</v>
      </c>
      <c r="F14" s="95">
        <v>8.200650910000002</v>
      </c>
      <c r="G14" s="3">
        <v>106.96856514000008</v>
      </c>
    </row>
    <row r="15" spans="1:7" x14ac:dyDescent="0.25">
      <c r="A15" s="2" t="s">
        <v>164</v>
      </c>
      <c r="B15" s="95">
        <v>9.72529836</v>
      </c>
      <c r="C15" s="95">
        <v>41.057574850000137</v>
      </c>
      <c r="D15" s="95">
        <v>24.343005799999982</v>
      </c>
      <c r="E15" s="95">
        <v>2.8657436700000019</v>
      </c>
      <c r="F15" s="95">
        <v>2.4198818499999994</v>
      </c>
      <c r="G15" s="3">
        <v>80.411504530000116</v>
      </c>
    </row>
    <row r="16" spans="1:7" x14ac:dyDescent="0.25">
      <c r="A16" s="2" t="s">
        <v>165</v>
      </c>
      <c r="B16" s="95">
        <v>6.956223920000002</v>
      </c>
      <c r="C16" s="95">
        <v>60.555875039999734</v>
      </c>
      <c r="D16" s="95">
        <v>41.071586050000015</v>
      </c>
      <c r="E16" s="95">
        <v>7.6880346800000003</v>
      </c>
      <c r="F16" s="95">
        <v>3.1765862799999987</v>
      </c>
      <c r="G16" s="3">
        <v>119.44830596999975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план</vt:lpstr>
      <vt:lpstr>численность</vt:lpstr>
      <vt:lpstr>доход и расход</vt:lpstr>
      <vt:lpstr>доходы</vt:lpstr>
      <vt:lpstr>РзПр</vt:lpstr>
      <vt:lpstr>МП</vt:lpstr>
      <vt:lpstr>Бюджет</vt:lpstr>
      <vt:lpstr>Общие показатели</vt:lpstr>
      <vt:lpstr>СТ нал_ненал</vt:lpstr>
      <vt:lpstr>НСД</vt:lpstr>
      <vt:lpstr>Имущество</vt:lpstr>
      <vt:lpstr>Имущество 2</vt:lpstr>
      <vt:lpstr>Неналог</vt:lpstr>
      <vt:lpstr>Неналог 2</vt:lpstr>
      <vt:lpstr>Всего</vt:lpstr>
      <vt:lpstr>Доходы_УТ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2024-06-13T11:24:54Z</dcterms:modified>
</cp:coreProperties>
</file>